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MIG-SKARBNIK\Documents\Budżet 2023\9. Sprawozdania\2. Mienie\"/>
    </mc:Choice>
  </mc:AlternateContent>
  <xr:revisionPtr revIDLastSave="0" documentId="13_ncr:1_{C9082D8C-A2CE-479C-97A1-3FBBFF7310F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rkusz1" sheetId="1" r:id="rId1"/>
    <sheet name="stan mien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1" i="1" l="1"/>
  <c r="E78" i="1" s="1"/>
  <c r="E77" i="1"/>
  <c r="E74" i="1" s="1"/>
  <c r="E86" i="1"/>
  <c r="E85" i="1"/>
  <c r="E43" i="1"/>
  <c r="C43" i="1"/>
  <c r="L22" i="2"/>
  <c r="K22" i="2"/>
  <c r="E22" i="2"/>
  <c r="C22" i="2"/>
  <c r="N22" i="2"/>
  <c r="D22" i="2"/>
  <c r="L12" i="2"/>
  <c r="C7" i="2" l="1"/>
  <c r="G7" i="2" l="1"/>
  <c r="H7" i="2"/>
  <c r="D7" i="2"/>
  <c r="C20" i="1" l="1"/>
  <c r="E20" i="1"/>
  <c r="E36" i="1"/>
  <c r="C36" i="1"/>
  <c r="M25" i="2"/>
  <c r="C25" i="2"/>
  <c r="O19" i="2" l="1"/>
  <c r="N19" i="2"/>
  <c r="M19" i="2"/>
  <c r="I19" i="2"/>
  <c r="H19" i="2"/>
  <c r="F19" i="2"/>
  <c r="D19" i="2"/>
  <c r="K18" i="2"/>
  <c r="J18" i="2"/>
  <c r="J19" i="2" s="1"/>
  <c r="B18" i="2"/>
  <c r="B17" i="2"/>
  <c r="B16" i="2"/>
  <c r="B15" i="2"/>
  <c r="B14" i="2"/>
  <c r="B13" i="2"/>
  <c r="B12" i="2"/>
  <c r="B11" i="2"/>
  <c r="L10" i="2"/>
  <c r="K10" i="2"/>
  <c r="C10" i="2"/>
  <c r="C19" i="2" s="1"/>
  <c r="B10" i="2"/>
  <c r="K9" i="2"/>
  <c r="B9" i="2" s="1"/>
  <c r="B8" i="2"/>
  <c r="L7" i="2"/>
  <c r="G19" i="2"/>
  <c r="E7" i="2"/>
  <c r="E19" i="2" s="1"/>
  <c r="B7" i="2"/>
  <c r="B6" i="2"/>
  <c r="E94" i="1"/>
  <c r="L19" i="2" l="1"/>
  <c r="B19" i="2"/>
  <c r="B39" i="2" s="1"/>
  <c r="K19" i="2"/>
  <c r="E82" i="1"/>
  <c r="E100" i="1" l="1"/>
  <c r="E62" i="1"/>
  <c r="E61" i="1" s="1"/>
  <c r="E72" i="1"/>
  <c r="E71" i="1"/>
  <c r="E67" i="1"/>
  <c r="E66" i="1" s="1"/>
  <c r="C49" i="1"/>
  <c r="C52" i="1" s="1"/>
  <c r="E70" i="1" l="1"/>
  <c r="N39" i="2"/>
  <c r="F39" i="2"/>
  <c r="O35" i="2"/>
  <c r="O40" i="2" s="1"/>
  <c r="N35" i="2"/>
  <c r="N40" i="2" s="1"/>
  <c r="M35" i="2"/>
  <c r="M40" i="2" s="1"/>
  <c r="L35" i="2"/>
  <c r="L40" i="2" s="1"/>
  <c r="K35" i="2"/>
  <c r="K40" i="2" s="1"/>
  <c r="J35" i="2"/>
  <c r="J40" i="2" s="1"/>
  <c r="I35" i="2"/>
  <c r="I40" i="2" s="1"/>
  <c r="H35" i="2"/>
  <c r="H40" i="2" s="1"/>
  <c r="G35" i="2"/>
  <c r="G40" i="2" s="1"/>
  <c r="F35" i="2"/>
  <c r="F40" i="2" s="1"/>
  <c r="E35" i="2"/>
  <c r="E40" i="2" s="1"/>
  <c r="D35" i="2"/>
  <c r="D40" i="2" s="1"/>
  <c r="C35" i="2"/>
  <c r="C40" i="2" s="1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O39" i="2"/>
  <c r="M39" i="2"/>
  <c r="L39" i="2"/>
  <c r="K39" i="2"/>
  <c r="J39" i="2"/>
  <c r="I39" i="2"/>
  <c r="H39" i="2"/>
  <c r="G39" i="2"/>
  <c r="G41" i="2" s="1"/>
  <c r="E39" i="2"/>
  <c r="D39" i="2"/>
  <c r="C39" i="2"/>
  <c r="E103" i="1"/>
  <c r="E109" i="1" s="1"/>
  <c r="E93" i="1"/>
  <c r="E92" i="1" s="1"/>
  <c r="E84" i="1"/>
  <c r="E49" i="1"/>
  <c r="E52" i="1" s="1"/>
  <c r="E40" i="1"/>
  <c r="C40" i="1"/>
  <c r="E37" i="1"/>
  <c r="C37" i="1"/>
  <c r="E32" i="1"/>
  <c r="C32" i="1"/>
  <c r="E21" i="1"/>
  <c r="C21" i="1"/>
  <c r="E19" i="1"/>
  <c r="C19" i="1"/>
  <c r="E11" i="1"/>
  <c r="C11" i="1"/>
  <c r="E41" i="2" l="1"/>
  <c r="O41" i="2"/>
  <c r="M41" i="2"/>
  <c r="L41" i="2"/>
  <c r="B35" i="2"/>
  <c r="B40" i="2" s="1"/>
  <c r="B41" i="2" s="1"/>
  <c r="E35" i="1"/>
  <c r="E46" i="1" s="1"/>
  <c r="E95" i="1"/>
  <c r="E108" i="1" s="1"/>
  <c r="C27" i="1"/>
  <c r="E27" i="1"/>
  <c r="E54" i="1" s="1"/>
  <c r="C35" i="1"/>
  <c r="C46" i="1" s="1"/>
  <c r="I41" i="2"/>
  <c r="H41" i="2"/>
  <c r="D41" i="2"/>
  <c r="J41" i="2"/>
  <c r="F41" i="2"/>
  <c r="C41" i="2"/>
  <c r="K41" i="2"/>
  <c r="N41" i="2"/>
  <c r="C54" i="1" l="1"/>
  <c r="E110" i="1"/>
</calcChain>
</file>

<file path=xl/sharedStrings.xml><?xml version="1.0" encoding="utf-8"?>
<sst xmlns="http://schemas.openxmlformats.org/spreadsheetml/2006/main" count="272" uniqueCount="158">
  <si>
    <t>Dane wynikające z przysługujących gminie praw własności do mienia komunalnego przedstawiają się następująco :</t>
  </si>
  <si>
    <t>Mienie poszczególnych jednostek przedstawia się następująco:</t>
  </si>
  <si>
    <t xml:space="preserve">               Nazwa jednostki</t>
  </si>
  <si>
    <t xml:space="preserve">  Wartość w złotych</t>
  </si>
  <si>
    <t xml:space="preserve"> Przedszkole BAJKA w Międzyborzu</t>
  </si>
  <si>
    <t>budynki i budowle</t>
  </si>
  <si>
    <t>Szkoła Podstawowa w Bukowinie Sycowskiej</t>
  </si>
  <si>
    <t>Szkoła Podstawowa  w Międzyborzu</t>
  </si>
  <si>
    <t xml:space="preserve"> M-G Ośrodek Kultury w Międzyborzu</t>
  </si>
  <si>
    <t xml:space="preserve">budynek i budowle </t>
  </si>
  <si>
    <t>maszyny i urządzenia</t>
  </si>
  <si>
    <t xml:space="preserve">Urząd Miasta i Gminy w Międzyborzu </t>
  </si>
  <si>
    <t>Kotły i maszyny energetyczne</t>
  </si>
  <si>
    <t>Urządzenia techniczne</t>
  </si>
  <si>
    <t>Środki transportu</t>
  </si>
  <si>
    <t>Narzędzia, przyrządy, ruchomości i wyposażenie</t>
  </si>
  <si>
    <t>10.</t>
  </si>
  <si>
    <t>Oczyszczalnia ścieków</t>
  </si>
  <si>
    <t xml:space="preserve"> budynki i budowle</t>
  </si>
  <si>
    <t xml:space="preserve"> maszyny i urządzenia</t>
  </si>
  <si>
    <t xml:space="preserve">          Zestawienie mienia komunalnego</t>
  </si>
  <si>
    <t xml:space="preserve">        Wartość</t>
  </si>
  <si>
    <t>Nieruchomości gruntowe</t>
  </si>
  <si>
    <t>Środki trwałe</t>
  </si>
  <si>
    <t>Udziały</t>
  </si>
  <si>
    <t>O g ó ł e m :</t>
  </si>
  <si>
    <t xml:space="preserve">     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</si>
  <si>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</si>
  <si>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</si>
  <si>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</si>
  <si>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</si>
  <si>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</si>
  <si>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</si>
  <si>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</si>
  <si>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</si>
  <si>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</si>
  <si>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</si>
  <si>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</si>
  <si>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</si>
  <si>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13.</t>
  </si>
  <si>
    <t>14.</t>
  </si>
  <si>
    <t xml:space="preserve">Urząd Miasta i Gminy w Międzyborzu         </t>
  </si>
  <si>
    <t xml:space="preserve">Ochotnicza Straż Pożarna w Międzyborzu </t>
  </si>
  <si>
    <t xml:space="preserve">Ochotnicza Straż Pożarna w Królewskiej Woli   </t>
  </si>
  <si>
    <t xml:space="preserve">Ochotnicza Straż Pożarna i świetlica w Ose </t>
  </si>
  <si>
    <t>Świetlica w Bukowinie Sycowskiej</t>
  </si>
  <si>
    <t xml:space="preserve">Boisko sportowe w Kraszowie  </t>
  </si>
  <si>
    <t>Stadion sportowy w Międzyborzu</t>
  </si>
  <si>
    <t>Świetlica w Niwkach Książęcych</t>
  </si>
  <si>
    <t>Razem:</t>
  </si>
  <si>
    <t>ha</t>
  </si>
  <si>
    <t xml:space="preserve">1. </t>
  </si>
  <si>
    <t xml:space="preserve">Gminy Międzybórz </t>
  </si>
  <si>
    <t>Nieruchomości gruntowe zajęte pod budynki i urządzenia związane z wykonywaniem przez gminne jednostki organizacyjne (częściowo lub  w całości) usług na rzecz mieszkańców , w tym :</t>
  </si>
  <si>
    <t>Zakład Gospodarki Komunalnej i Mieszkaniowej w Międzyborzu Sp. z o.o.</t>
  </si>
  <si>
    <t xml:space="preserve">Oddane w użytkowanie wieczyste          </t>
  </si>
  <si>
    <t xml:space="preserve">Grunty wydzierżawione </t>
  </si>
  <si>
    <t xml:space="preserve">Pozostałe                                                      </t>
  </si>
  <si>
    <t>Grunty przeznaczone bądź planowane do przeznaczenia w planie zagospodarowania przestrzennego pod:  rozbudowę cmentarza komunalnego, budowę boisk sportowych, planowane budownictwo mieszkaniowe, rzemieślnicze   i usługowe. Ponadto są to nieużytki, lasy, zadrzewienia, zieleń, rowy, użytki kopalne, grunty orne i użytki zielone, grunty pod wodami itp.</t>
  </si>
  <si>
    <t xml:space="preserve"> Pozostałe nieruchomości gruntowe</t>
  </si>
  <si>
    <t xml:space="preserve">Drogi gminne        </t>
  </si>
  <si>
    <t xml:space="preserve">Ogółem nieruchomości gruntowe (poz. 1– 4)   </t>
  </si>
  <si>
    <t>Ogółem:</t>
  </si>
  <si>
    <t>Gmina Międzybórz posiada długoterminowe aktywa finansowe obejmujące udziały  w spółkach kapitałowych:</t>
  </si>
  <si>
    <t xml:space="preserve"> Zakład Gospodarki Komunalnej i Mieszkaniowej w Międzyborzu Sp. z o.o. </t>
  </si>
  <si>
    <t>Wartość nominalna udziałów w spółkach :</t>
  </si>
  <si>
    <t>BĄKÓW</t>
  </si>
  <si>
    <t>BUKOWINA SYCOWSKA</t>
  </si>
  <si>
    <t>DZIESŁAWICE</t>
  </si>
  <si>
    <t>HAŁDRYCHOWICE</t>
  </si>
  <si>
    <t>KAMIEŃ</t>
  </si>
  <si>
    <t>KLONÓW</t>
  </si>
  <si>
    <t>KRASZÓW</t>
  </si>
  <si>
    <t>KRÓLEWSKA WOLA</t>
  </si>
  <si>
    <t>LIGOTA RYBIŃSKA</t>
  </si>
  <si>
    <t>NIWKI KRASZOWSKIE</t>
  </si>
  <si>
    <t>NIWKI KSIĄŻĘCE</t>
  </si>
  <si>
    <t>OSE</t>
  </si>
  <si>
    <t>OSKA PIŁA</t>
  </si>
  <si>
    <t>grunty orne</t>
  </si>
  <si>
    <t>łaki</t>
  </si>
  <si>
    <t>pastwiska</t>
  </si>
  <si>
    <t>lasu i grunty lesne</t>
  </si>
  <si>
    <t>grutny pod wodami</t>
  </si>
  <si>
    <t>rowy</t>
  </si>
  <si>
    <t>użytki kopalne</t>
  </si>
  <si>
    <t>drogi</t>
  </si>
  <si>
    <t>tereny zabudowane</t>
  </si>
  <si>
    <t>zieleń</t>
  </si>
  <si>
    <t>nieużytki</t>
  </si>
  <si>
    <t>MiG Międzybóz</t>
  </si>
  <si>
    <t>ZGKiM sp. z o.o.</t>
  </si>
  <si>
    <t>Przedszkole</t>
  </si>
  <si>
    <t>użytkownicy wieczyści</t>
  </si>
  <si>
    <t>prac.ogrody dziłakowe</t>
  </si>
  <si>
    <t>OSM Międyzbóz</t>
  </si>
  <si>
    <t>MGOK</t>
  </si>
  <si>
    <t>OSP</t>
  </si>
  <si>
    <t>Klub Sportowy</t>
  </si>
  <si>
    <t>energetyka</t>
  </si>
  <si>
    <t>BACO HOLDING</t>
  </si>
  <si>
    <t>STAN MIENIA KOMUNALNEGO</t>
  </si>
  <si>
    <t>powierzchnia ogółem</t>
  </si>
  <si>
    <t>razem</t>
  </si>
  <si>
    <t>Nieruchomości gruntowe zajęte pod budynki i urządzenia związane   z wykonywaniem przez gminę nieodpłatnych obligatoryjnych usług na rzecz wspólnoty samorządowej, w szczególności z wykonywaniem administracji publicznej w tym :</t>
  </si>
  <si>
    <t xml:space="preserve">Razem :     </t>
  </si>
  <si>
    <t xml:space="preserve"> Oświetlenie Uliczne i Drogowe Sp. z o.o. w Kaliszu ul. Wojska Polskiego 35                                                                 </t>
  </si>
  <si>
    <t>Szkoły</t>
  </si>
  <si>
    <t xml:space="preserve">Szkoła Podstawowa w Międzyborzu  </t>
  </si>
  <si>
    <t>Szkoła Podstawowa Filia w Kraszowie</t>
  </si>
  <si>
    <t xml:space="preserve">Ochotnicza Straż Pożarna w Dziesławicach  </t>
  </si>
  <si>
    <t xml:space="preserve">Świetlica w Klonowie  </t>
  </si>
  <si>
    <t xml:space="preserve">Świetlica w Niwkach Kraszowskich  </t>
  </si>
  <si>
    <t>15.</t>
  </si>
  <si>
    <t>16.</t>
  </si>
  <si>
    <t>Ośrodek Zdrowia w Międzyborzu</t>
  </si>
  <si>
    <t>Ośrodek Zdrowia w Bukowinie</t>
  </si>
  <si>
    <t xml:space="preserve"> Na terenie gminy Międzybórz występują jako jednostki budżetowe: 2 szkoły podstawowe, 1 przedszkole samorządowe. Działają również 2 instytucje kultury.</t>
  </si>
  <si>
    <t>GMINA MIĘDZYBÓRZ</t>
  </si>
  <si>
    <t>MIASTO MIĘDZYBÓRZ</t>
  </si>
  <si>
    <t>Świetlica w Kraszowie</t>
  </si>
  <si>
    <t>17.</t>
  </si>
  <si>
    <t>jednostki uspołecznione</t>
  </si>
  <si>
    <t>osoby fizyczne</t>
  </si>
  <si>
    <t>miasto</t>
  </si>
  <si>
    <t>gmina</t>
  </si>
  <si>
    <t>Bibliteka Publiczna w Międzyborzu</t>
  </si>
  <si>
    <t>Miejsko-Gminny Ośrodek Pomocy Społecznej w Międzyborzu</t>
  </si>
  <si>
    <r>
      <t xml:space="preserve"> </t>
    </r>
    <r>
      <rPr>
        <b/>
        <sz val="10"/>
        <rFont val="Times New Roman"/>
        <family val="1"/>
        <charset val="238"/>
      </rPr>
      <t xml:space="preserve">Informacja o stanie mienia </t>
    </r>
  </si>
  <si>
    <t>Maszyny, urządzenia i aparaty ogólnego zastosowania</t>
  </si>
  <si>
    <t xml:space="preserve">Maszyny, urządzenia i aparaty specjalistyczne </t>
  </si>
  <si>
    <t>tereny niezabudowe</t>
  </si>
  <si>
    <t>zadrzew. i zkarzew</t>
  </si>
  <si>
    <t>mienie Gmina</t>
  </si>
  <si>
    <t>mienie Miasto</t>
  </si>
  <si>
    <t>Wyszczególnienie</t>
  </si>
  <si>
    <t>suma</t>
  </si>
  <si>
    <t>Załącznik nr 1.</t>
  </si>
  <si>
    <t>Zakład Zagospodarowania Opdadów Olszowa sp. z o.o. ( dawniej  „Inwestor – Kępno” sp. z o.o. w Kępnie)</t>
  </si>
  <si>
    <t xml:space="preserve">Przedszkole BAJKA w Międzyborzu </t>
  </si>
  <si>
    <t>Hałdrychowice działka nr 104/3 i 104/5, działki niezabudowane przeznaczone w miejscowym planie zagospodarowania przestrzennego jako teren  zabudowy zagrodowej– symbol planu – RM oraz teren rolniczy- symbol planu- R;</t>
  </si>
  <si>
    <r>
      <t>Nieruchomości gruntowe wydzierżawione, wynajmowane, oddane w wieczyste użytkowanie i inne</t>
    </r>
    <r>
      <rPr>
        <b/>
        <sz val="10"/>
        <rFont val="Times New Roman"/>
        <family val="1"/>
        <charset val="238"/>
      </rPr>
      <t>:</t>
    </r>
  </si>
  <si>
    <t>Załącznik nr 2.</t>
  </si>
  <si>
    <t>W okresie od 01.01.2023 r. do 31.12.2023 r. sprzedano:</t>
  </si>
  <si>
    <t xml:space="preserve">Lokal mieszkalny numer 5 pod adresem Kraszów 32 o pow. 68,77m2 wraz z przynależnościami oraz udziałem 1587/10000 </t>
  </si>
  <si>
    <t>NA DZIEŃ 31.12.2023 ROKU</t>
  </si>
  <si>
    <t>na dzień 31.12.2023 r.</t>
  </si>
  <si>
    <t>Działka oznaczona według ewidencji gruntów nr 393/1 położonej w  Międzyborzu, przy ul. Kościelnej o powierzchni 0,0063 ha</t>
  </si>
  <si>
    <t>Działka oznaczona według ewidencji gruntów nr 941 położonej w Międzyborzu przy ul. Kościelnej o powierzchni 0,0786 ha</t>
  </si>
  <si>
    <t>Działka oznaczona według ewidencji gruntów nr 4/2 obręb Bukowina Sycowska, o powierzchni 2,7844 ha oraz działka oznaczona według ewidencji gruntów nr 66 obręb Bukowina Sycowska, o powierzchni 2,2838 ha. Zapisany w księgach  wieczystych działka oznaczona według ewidencji gruntów nr 66 obręb Bukowina Sycowska, o powierzchni 2,2838 ha</t>
  </si>
  <si>
    <t>Dochody  ze sprzedaży mienia w 2023 roku wyniosły 286.776,99 zł.</t>
  </si>
  <si>
    <t>Dochody pochodzące z mienia komunalnego : m.in. dzierżawa gruntów i lokali, opłaty z tytułu wieczystego użytkowania, czynsze za mieszkania komunalne wyniosły                   264.924,46 zł.</t>
  </si>
  <si>
    <t xml:space="preserve">W 2023 roku zostały obligacja o wartość 3.000.000,00 zł. </t>
  </si>
  <si>
    <t xml:space="preserve">Zadłużenie Gminy na 31.12.2023 r. z tytułu wcześniej zaciągniętych pożyczek wynosi 49.340,00 zł, kredytów wynosi 2.150.000,00 złotych oraz z tytyłu emisji obligacji komunalnych 10.200.000,00 zł </t>
  </si>
  <si>
    <t>Łączne zadłużenie Gminy wynosi 12.399.340,00 zł.</t>
  </si>
  <si>
    <t>W 2023 roku zostały spłacone raty kredytów, obligacji i pożyczek w kwocie 1.343.660,00 zł .</t>
  </si>
  <si>
    <t>grunty</t>
  </si>
  <si>
    <t>Spółdzielnia Mieskzaniowa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</si>
</sst>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0.0000"/>
    <numFmt numFmtId="165" formatCode="#,##0.00\ &quot;zł&quot;"/>
    <numFmt numFmtId="166" formatCode="#,##0.0000"/>
    <numFmt numFmtId="167" formatCode="_-* #,##0.0000\ _z_ł_-;\-* #,##0.0000\ _z_ł_-;_-* &quot;-&quot;????\ _z_ł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7"/>
      <name val="Times New Roman"/>
      <family val="1"/>
      <charset val="238"/>
    </font>
    <font>
      <sz val="9"/>
      <name val="Times New Roman"/>
      <family val="1"/>
      <charset val="238"/>
    </font>
    <font>
      <sz val="8"/>
      <color theme="1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i/>
      <u/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u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165" fontId="4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7" fontId="6" fillId="0" borderId="2" xfId="0" applyNumberFormat="1" applyFont="1" applyBorder="1" applyAlignment="1">
      <alignment horizontal="right" vertical="center" wrapText="1"/>
    </xf>
    <xf numFmtId="0" fontId="8" fillId="0" borderId="2" xfId="0" applyFont="1" applyFill="1" applyBorder="1" applyAlignment="1">
      <alignment horizontal="center" vertical="center" wrapText="1"/>
    </xf>
    <xf numFmtId="167" fontId="9" fillId="0" borderId="2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 wrapText="1"/>
    </xf>
    <xf numFmtId="166" fontId="2" fillId="3" borderId="0" xfId="0" applyNumberFormat="1" applyFont="1" applyFill="1" applyAlignment="1">
      <alignment vertical="center" wrapText="1"/>
    </xf>
    <xf numFmtId="165" fontId="2" fillId="3" borderId="0" xfId="0" applyNumberFormat="1" applyFont="1" applyFill="1" applyAlignment="1">
      <alignment vertical="center" wrapText="1"/>
    </xf>
    <xf numFmtId="165" fontId="2" fillId="3" borderId="2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" fontId="5" fillId="3" borderId="2" xfId="1" applyNumberFormat="1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166" fontId="12" fillId="4" borderId="2" xfId="0" applyNumberFormat="1" applyFont="1" applyFill="1" applyBorder="1" applyAlignment="1">
      <alignment horizontal="right" vertical="center"/>
    </xf>
    <xf numFmtId="166" fontId="12" fillId="3" borderId="2" xfId="0" applyNumberFormat="1" applyFont="1" applyFill="1" applyBorder="1" applyAlignment="1">
      <alignment horizontal="right" vertical="center"/>
    </xf>
    <xf numFmtId="166" fontId="13" fillId="4" borderId="2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166" fontId="11" fillId="0" borderId="0" xfId="0" applyNumberFormat="1" applyFont="1" applyAlignment="1">
      <alignment vertical="center" wrapText="1"/>
    </xf>
    <xf numFmtId="165" fontId="11" fillId="0" borderId="0" xfId="0" applyNumberFormat="1" applyFont="1" applyAlignment="1">
      <alignment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8" fillId="3" borderId="2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166" fontId="4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166" fontId="1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 wrapText="1"/>
    </xf>
    <xf numFmtId="165" fontId="16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8" fontId="4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4" fontId="2" fillId="3" borderId="0" xfId="0" applyNumberFormat="1" applyFont="1" applyFill="1" applyAlignment="1">
      <alignment vertical="center" wrapText="1"/>
    </xf>
    <xf numFmtId="0" fontId="15" fillId="0" borderId="0" xfId="0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</cellXfs>
  <cellStyles count="2">
    <cellStyle name="Dane wejściowe" xfId="1" builtinId="2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2"/>
  <sheetViews>
    <sheetView topLeftCell="A80" zoomScale="200" zoomScaleNormal="200" workbookViewId="0">
      <selection activeCell="B108" sqref="B108:D108"/>
    </sheetView>
  </sheetViews>
  <sheetFormatPr defaultRowHeight="12.75" x14ac:dyDescent="0.25"/>
  <cols>
    <col min="1" max="1" width="3.5703125" style="50" bestFit="1" customWidth="1"/>
    <col min="2" max="2" width="46.28515625" style="1" customWidth="1"/>
    <col min="3" max="3" width="9.28515625" style="1" customWidth="1"/>
    <col min="4" max="4" width="3.5703125" style="1" bestFit="1" customWidth="1"/>
    <col min="5" max="5" width="16.5703125" style="53" bestFit="1" customWidth="1"/>
    <col min="6" max="6" width="14.42578125" style="1" bestFit="1" customWidth="1"/>
    <col min="7" max="7" width="9.140625" style="1"/>
    <col min="8" max="8" width="9.5703125" style="5" bestFit="1" customWidth="1"/>
    <col min="9" max="9" width="15.140625" style="4" bestFit="1" customWidth="1"/>
    <col min="10" max="16384" width="9.140625" style="1"/>
  </cols>
  <sheetData>
    <row r="1" spans="1:5" x14ac:dyDescent="0.25">
      <c r="E1" s="52" t="s">
        <v>137</v>
      </c>
    </row>
    <row r="2" spans="1:5" ht="9.75" customHeight="1" x14ac:dyDescent="0.25"/>
    <row r="3" spans="1:5" x14ac:dyDescent="0.25">
      <c r="A3" s="62" t="s">
        <v>128</v>
      </c>
      <c r="B3" s="62"/>
      <c r="C3" s="62"/>
      <c r="D3" s="62"/>
      <c r="E3" s="62"/>
    </row>
    <row r="4" spans="1:5" x14ac:dyDescent="0.25">
      <c r="A4" s="66" t="s">
        <v>52</v>
      </c>
      <c r="B4" s="66"/>
      <c r="C4" s="66"/>
      <c r="D4" s="66"/>
      <c r="E4" s="66"/>
    </row>
    <row r="5" spans="1:5" x14ac:dyDescent="0.25">
      <c r="A5" s="66" t="s">
        <v>146</v>
      </c>
      <c r="B5" s="66"/>
      <c r="C5" s="66"/>
      <c r="D5" s="66"/>
      <c r="E5" s="66"/>
    </row>
    <row r="6" spans="1:5" ht="9" customHeight="1" x14ac:dyDescent="0.25"/>
    <row r="7" spans="1:5" ht="24.75" customHeight="1" x14ac:dyDescent="0.25">
      <c r="A7" s="64" t="s">
        <v>0</v>
      </c>
      <c r="B7" s="64"/>
      <c r="C7" s="64"/>
      <c r="D7" s="64"/>
      <c r="E7" s="64"/>
    </row>
    <row r="8" spans="1:5" ht="3.75" customHeight="1" x14ac:dyDescent="0.25"/>
    <row r="9" spans="1:5" ht="41.25" customHeight="1" x14ac:dyDescent="0.25">
      <c r="A9" s="38" t="s">
        <v>51</v>
      </c>
      <c r="B9" s="63" t="s">
        <v>104</v>
      </c>
      <c r="C9" s="63"/>
      <c r="D9" s="63"/>
      <c r="E9" s="63"/>
    </row>
    <row r="10" spans="1:5" x14ac:dyDescent="0.25">
      <c r="A10" s="50" t="s">
        <v>28</v>
      </c>
      <c r="B10" s="1" t="s">
        <v>41</v>
      </c>
      <c r="C10" s="5">
        <v>0.3992</v>
      </c>
      <c r="D10" s="48" t="s">
        <v>50</v>
      </c>
      <c r="E10" s="4">
        <v>24090.720000000001</v>
      </c>
    </row>
    <row r="11" spans="1:5" x14ac:dyDescent="0.25">
      <c r="A11" s="50" t="s">
        <v>29</v>
      </c>
      <c r="B11" s="1" t="s">
        <v>108</v>
      </c>
      <c r="C11" s="5">
        <f>0.5127+0.5431</f>
        <v>1.0558000000000001</v>
      </c>
      <c r="D11" s="48" t="s">
        <v>50</v>
      </c>
      <c r="E11" s="4">
        <f>35889+38017</f>
        <v>73906</v>
      </c>
    </row>
    <row r="12" spans="1:5" x14ac:dyDescent="0.25">
      <c r="A12" s="50" t="s">
        <v>30</v>
      </c>
      <c r="B12" s="1" t="s">
        <v>6</v>
      </c>
      <c r="C12" s="5">
        <v>0.91220000000000001</v>
      </c>
      <c r="D12" s="48" t="s">
        <v>50</v>
      </c>
      <c r="E12" s="4">
        <v>17152.599999999999</v>
      </c>
    </row>
    <row r="13" spans="1:5" x14ac:dyDescent="0.25">
      <c r="A13" s="50" t="s">
        <v>31</v>
      </c>
      <c r="B13" s="1" t="s">
        <v>109</v>
      </c>
      <c r="C13" s="5">
        <v>0.19889999999999999</v>
      </c>
      <c r="D13" s="48" t="s">
        <v>50</v>
      </c>
      <c r="E13" s="4">
        <v>5967</v>
      </c>
    </row>
    <row r="14" spans="1:5" x14ac:dyDescent="0.25">
      <c r="A14" s="50" t="s">
        <v>32</v>
      </c>
      <c r="B14" s="1" t="s">
        <v>42</v>
      </c>
      <c r="C14" s="5">
        <v>6.6699999999999995E-2</v>
      </c>
      <c r="D14" s="48" t="s">
        <v>50</v>
      </c>
      <c r="E14" s="4">
        <v>4669</v>
      </c>
    </row>
    <row r="15" spans="1:5" x14ac:dyDescent="0.25">
      <c r="A15" s="50" t="s">
        <v>33</v>
      </c>
      <c r="B15" s="1" t="s">
        <v>110</v>
      </c>
      <c r="C15" s="5">
        <v>0.39</v>
      </c>
      <c r="D15" s="48" t="s">
        <v>50</v>
      </c>
      <c r="E15" s="4">
        <v>11700</v>
      </c>
    </row>
    <row r="16" spans="1:5" x14ac:dyDescent="0.25">
      <c r="A16" s="50" t="s">
        <v>34</v>
      </c>
      <c r="B16" s="1" t="s">
        <v>111</v>
      </c>
      <c r="C16" s="5">
        <v>1.0691999999999999</v>
      </c>
      <c r="D16" s="48" t="s">
        <v>50</v>
      </c>
      <c r="E16" s="4">
        <v>4802.2</v>
      </c>
    </row>
    <row r="17" spans="1:9" x14ac:dyDescent="0.25">
      <c r="A17" s="50" t="s">
        <v>35</v>
      </c>
      <c r="B17" s="1" t="s">
        <v>43</v>
      </c>
      <c r="C17" s="5">
        <v>0.25</v>
      </c>
      <c r="D17" s="48" t="s">
        <v>50</v>
      </c>
      <c r="E17" s="4">
        <v>7500</v>
      </c>
    </row>
    <row r="18" spans="1:9" x14ac:dyDescent="0.25">
      <c r="A18" s="50" t="s">
        <v>36</v>
      </c>
      <c r="B18" s="1" t="s">
        <v>112</v>
      </c>
      <c r="C18" s="5">
        <v>0.27</v>
      </c>
      <c r="D18" s="48" t="s">
        <v>50</v>
      </c>
      <c r="E18" s="4">
        <v>8100</v>
      </c>
    </row>
    <row r="19" spans="1:9" x14ac:dyDescent="0.25">
      <c r="A19" s="50" t="s">
        <v>16</v>
      </c>
      <c r="B19" s="20" t="s">
        <v>44</v>
      </c>
      <c r="C19" s="21">
        <f>0.0432+0.0103+0.0112</f>
        <v>6.4700000000000008E-2</v>
      </c>
      <c r="D19" s="54" t="s">
        <v>50</v>
      </c>
      <c r="E19" s="22">
        <f>1296+309+4933.08</f>
        <v>6538.08</v>
      </c>
    </row>
    <row r="20" spans="1:9" x14ac:dyDescent="0.25">
      <c r="A20" s="50" t="s">
        <v>37</v>
      </c>
      <c r="B20" s="20" t="s">
        <v>45</v>
      </c>
      <c r="C20" s="21">
        <f>0.0898+0.61-0.0898+0.0006</f>
        <v>0.61060000000000003</v>
      </c>
      <c r="D20" s="54" t="s">
        <v>50</v>
      </c>
      <c r="E20" s="22">
        <f>2694+5367.45-2694</f>
        <v>5367.45</v>
      </c>
    </row>
    <row r="21" spans="1:9" x14ac:dyDescent="0.25">
      <c r="A21" s="50" t="s">
        <v>38</v>
      </c>
      <c r="B21" s="20" t="s">
        <v>46</v>
      </c>
      <c r="C21" s="21">
        <f>1.5</f>
        <v>1.5</v>
      </c>
      <c r="D21" s="54" t="s">
        <v>50</v>
      </c>
      <c r="E21" s="22">
        <f>6720</f>
        <v>6720</v>
      </c>
    </row>
    <row r="22" spans="1:9" x14ac:dyDescent="0.25">
      <c r="A22" s="50" t="s">
        <v>39</v>
      </c>
      <c r="B22" s="1" t="s">
        <v>120</v>
      </c>
      <c r="C22" s="5">
        <v>0.10299999999999999</v>
      </c>
      <c r="D22" s="48" t="s">
        <v>50</v>
      </c>
      <c r="E22" s="4">
        <v>3090</v>
      </c>
    </row>
    <row r="23" spans="1:9" x14ac:dyDescent="0.25">
      <c r="A23" s="50" t="s">
        <v>40</v>
      </c>
      <c r="B23" s="1" t="s">
        <v>47</v>
      </c>
      <c r="C23" s="5">
        <v>1.8484</v>
      </c>
      <c r="D23" s="48" t="s">
        <v>50</v>
      </c>
      <c r="E23" s="4">
        <v>13554.4</v>
      </c>
    </row>
    <row r="24" spans="1:9" x14ac:dyDescent="0.25">
      <c r="A24" s="50" t="s">
        <v>113</v>
      </c>
      <c r="B24" s="1" t="s">
        <v>48</v>
      </c>
      <c r="C24" s="5">
        <v>0.50009999999999999</v>
      </c>
      <c r="D24" s="48" t="s">
        <v>50</v>
      </c>
      <c r="E24" s="4">
        <v>9129.2000000000007</v>
      </c>
    </row>
    <row r="25" spans="1:9" x14ac:dyDescent="0.25">
      <c r="A25" s="50" t="s">
        <v>114</v>
      </c>
      <c r="B25" s="1" t="s">
        <v>115</v>
      </c>
      <c r="C25" s="5">
        <v>8.2600000000000007E-2</v>
      </c>
      <c r="D25" s="48" t="s">
        <v>50</v>
      </c>
      <c r="E25" s="4">
        <v>5782</v>
      </c>
    </row>
    <row r="26" spans="1:9" x14ac:dyDescent="0.25">
      <c r="A26" s="50" t="s">
        <v>121</v>
      </c>
      <c r="B26" s="1" t="s">
        <v>116</v>
      </c>
      <c r="C26" s="5">
        <v>9.7999999999999997E-3</v>
      </c>
      <c r="D26" s="48" t="s">
        <v>50</v>
      </c>
      <c r="E26" s="4">
        <v>294</v>
      </c>
    </row>
    <row r="27" spans="1:9" s="6" customFormat="1" x14ac:dyDescent="0.25">
      <c r="A27" s="49"/>
      <c r="B27" s="6" t="s">
        <v>49</v>
      </c>
      <c r="C27" s="44">
        <f>SUM(C10:C26)</f>
        <v>9.3311999999999991</v>
      </c>
      <c r="D27" s="44" t="s">
        <v>50</v>
      </c>
      <c r="E27" s="45">
        <f>SUM(E10:E26)</f>
        <v>208362.65000000002</v>
      </c>
      <c r="H27" s="39"/>
      <c r="I27" s="7"/>
    </row>
    <row r="28" spans="1:9" ht="7.5" customHeight="1" x14ac:dyDescent="0.25"/>
    <row r="29" spans="1:9" ht="42" customHeight="1" x14ac:dyDescent="0.25">
      <c r="A29" s="38" t="s">
        <v>29</v>
      </c>
      <c r="B29" s="63" t="s">
        <v>53</v>
      </c>
      <c r="C29" s="63"/>
      <c r="D29" s="63"/>
      <c r="E29" s="63"/>
    </row>
    <row r="30" spans="1:9" x14ac:dyDescent="0.25">
      <c r="A30" s="50" t="s">
        <v>28</v>
      </c>
      <c r="B30" s="1" t="s">
        <v>139</v>
      </c>
      <c r="C30" s="48">
        <v>0.70499999999999996</v>
      </c>
      <c r="D30" s="1" t="s">
        <v>50</v>
      </c>
      <c r="E30" s="4">
        <v>49350</v>
      </c>
      <c r="H30" s="48"/>
      <c r="I30" s="48"/>
    </row>
    <row r="31" spans="1:9" ht="25.5" x14ac:dyDescent="0.25">
      <c r="A31" s="50" t="s">
        <v>29</v>
      </c>
      <c r="B31" s="1" t="s">
        <v>54</v>
      </c>
      <c r="C31" s="48">
        <v>3.0727000000000002</v>
      </c>
      <c r="D31" s="1" t="s">
        <v>50</v>
      </c>
      <c r="E31" s="4">
        <v>36033.599999999999</v>
      </c>
      <c r="H31" s="48"/>
    </row>
    <row r="32" spans="1:9" s="6" customFormat="1" x14ac:dyDescent="0.25">
      <c r="A32" s="49"/>
      <c r="B32" s="6" t="s">
        <v>49</v>
      </c>
      <c r="C32" s="44">
        <f>SUM(C30:C31)</f>
        <v>3.7777000000000003</v>
      </c>
      <c r="D32" s="6" t="s">
        <v>50</v>
      </c>
      <c r="E32" s="7">
        <f>SUM(E30:E31)</f>
        <v>85383.6</v>
      </c>
      <c r="H32" s="44"/>
      <c r="I32" s="7"/>
    </row>
    <row r="33" spans="1:9" ht="4.5" customHeight="1" x14ac:dyDescent="0.25">
      <c r="B33" s="6"/>
    </row>
    <row r="34" spans="1:9" ht="28.5" customHeight="1" x14ac:dyDescent="0.25">
      <c r="A34" s="38" t="s">
        <v>30</v>
      </c>
      <c r="B34" s="63" t="s">
        <v>141</v>
      </c>
      <c r="C34" s="63"/>
      <c r="D34" s="63"/>
      <c r="E34" s="63"/>
    </row>
    <row r="35" spans="1:9" s="6" customFormat="1" x14ac:dyDescent="0.25">
      <c r="A35" s="49" t="s">
        <v>28</v>
      </c>
      <c r="B35" s="6" t="s">
        <v>55</v>
      </c>
      <c r="C35" s="39">
        <f>C36+C37</f>
        <v>13.9147</v>
      </c>
      <c r="D35" s="6" t="s">
        <v>50</v>
      </c>
      <c r="E35" s="7">
        <f>E36+E37</f>
        <v>232166.95</v>
      </c>
      <c r="H35" s="39"/>
      <c r="I35" s="7"/>
    </row>
    <row r="36" spans="1:9" s="42" customFormat="1" x14ac:dyDescent="0.25">
      <c r="A36" s="40"/>
      <c r="B36" s="42" t="s">
        <v>123</v>
      </c>
      <c r="C36" s="41">
        <f>0.7486+0.03</f>
        <v>0.77860000000000007</v>
      </c>
      <c r="D36" s="42" t="s">
        <v>50</v>
      </c>
      <c r="E36" s="43">
        <f>49494.6+900</f>
        <v>50394.6</v>
      </c>
      <c r="H36" s="41"/>
      <c r="I36" s="43"/>
    </row>
    <row r="37" spans="1:9" s="42" customFormat="1" x14ac:dyDescent="0.25">
      <c r="A37" s="40"/>
      <c r="B37" s="42" t="s">
        <v>122</v>
      </c>
      <c r="C37" s="41">
        <f>C38+C39</f>
        <v>13.136099999999999</v>
      </c>
      <c r="D37" s="42" t="s">
        <v>50</v>
      </c>
      <c r="E37" s="43">
        <f>E38+E39</f>
        <v>181772.35</v>
      </c>
      <c r="H37" s="41"/>
      <c r="I37" s="43"/>
    </row>
    <row r="38" spans="1:9" s="42" customFormat="1" x14ac:dyDescent="0.25">
      <c r="A38" s="40"/>
      <c r="B38" s="42" t="s">
        <v>124</v>
      </c>
      <c r="C38" s="41">
        <v>10.718</v>
      </c>
      <c r="D38" s="42" t="s">
        <v>50</v>
      </c>
      <c r="E38" s="43">
        <v>165264.70000000001</v>
      </c>
      <c r="H38" s="41"/>
      <c r="I38" s="43"/>
    </row>
    <row r="39" spans="1:9" s="42" customFormat="1" x14ac:dyDescent="0.25">
      <c r="A39" s="40"/>
      <c r="B39" s="42" t="s">
        <v>125</v>
      </c>
      <c r="C39" s="41">
        <v>2.4180999999999999</v>
      </c>
      <c r="D39" s="42" t="s">
        <v>50</v>
      </c>
      <c r="E39" s="43">
        <v>16507.650000000001</v>
      </c>
      <c r="H39" s="41"/>
      <c r="I39" s="43"/>
    </row>
    <row r="40" spans="1:9" s="6" customFormat="1" x14ac:dyDescent="0.25">
      <c r="A40" s="49" t="s">
        <v>29</v>
      </c>
      <c r="B40" s="6" t="s">
        <v>56</v>
      </c>
      <c r="C40" s="39">
        <f>C41+C42</f>
        <v>23.6312</v>
      </c>
      <c r="D40" s="6" t="s">
        <v>50</v>
      </c>
      <c r="E40" s="7">
        <f>E41+E42</f>
        <v>105507.1</v>
      </c>
      <c r="H40" s="39"/>
      <c r="I40" s="7"/>
    </row>
    <row r="41" spans="1:9" s="42" customFormat="1" x14ac:dyDescent="0.25">
      <c r="A41" s="40"/>
      <c r="B41" s="42" t="s">
        <v>124</v>
      </c>
      <c r="C41" s="41">
        <v>10.2415</v>
      </c>
      <c r="D41" s="42" t="s">
        <v>50</v>
      </c>
      <c r="E41" s="43">
        <v>54828.38</v>
      </c>
      <c r="H41" s="41"/>
      <c r="I41" s="43"/>
    </row>
    <row r="42" spans="1:9" s="42" customFormat="1" x14ac:dyDescent="0.25">
      <c r="A42" s="40"/>
      <c r="B42" s="42" t="s">
        <v>125</v>
      </c>
      <c r="C42" s="41">
        <v>13.389699999999999</v>
      </c>
      <c r="D42" s="42" t="s">
        <v>50</v>
      </c>
      <c r="E42" s="43">
        <v>50678.720000000001</v>
      </c>
      <c r="H42" s="41"/>
      <c r="I42" s="43"/>
    </row>
    <row r="43" spans="1:9" s="6" customFormat="1" x14ac:dyDescent="0.25">
      <c r="A43" s="49" t="s">
        <v>30</v>
      </c>
      <c r="B43" s="6" t="s">
        <v>57</v>
      </c>
      <c r="C43" s="39">
        <f>52.3734-0.1399-6.8068+0.0898-1.2612</f>
        <v>44.255299999999991</v>
      </c>
      <c r="D43" s="6" t="s">
        <v>50</v>
      </c>
      <c r="E43" s="7">
        <f>736403.88-98427.8+2694-14965.8</f>
        <v>625704.27999999991</v>
      </c>
      <c r="H43" s="39"/>
      <c r="I43" s="7"/>
    </row>
    <row r="44" spans="1:9" ht="35.25" customHeight="1" x14ac:dyDescent="0.25">
      <c r="A44" s="65" t="s">
        <v>58</v>
      </c>
      <c r="B44" s="65"/>
      <c r="C44" s="65"/>
      <c r="D44" s="65"/>
      <c r="E44" s="65"/>
    </row>
    <row r="45" spans="1:9" ht="4.5" customHeight="1" x14ac:dyDescent="0.25"/>
    <row r="46" spans="1:9" s="6" customFormat="1" x14ac:dyDescent="0.25">
      <c r="A46" s="49"/>
      <c r="B46" s="6" t="s">
        <v>105</v>
      </c>
      <c r="C46" s="44">
        <f>C35+C40+C43</f>
        <v>81.801199999999994</v>
      </c>
      <c r="D46" s="6" t="s">
        <v>50</v>
      </c>
      <c r="E46" s="45">
        <f>E35+E40+E43</f>
        <v>963378.33</v>
      </c>
      <c r="H46" s="44"/>
      <c r="I46" s="45"/>
    </row>
    <row r="47" spans="1:9" ht="6" customHeight="1" x14ac:dyDescent="0.25">
      <c r="B47" s="6"/>
    </row>
    <row r="48" spans="1:9" x14ac:dyDescent="0.25">
      <c r="A48" s="46" t="s">
        <v>31</v>
      </c>
      <c r="B48" s="55" t="s">
        <v>59</v>
      </c>
    </row>
    <row r="49" spans="1:9" x14ac:dyDescent="0.25">
      <c r="A49" s="50" t="s">
        <v>28</v>
      </c>
      <c r="B49" s="1" t="s">
        <v>60</v>
      </c>
      <c r="C49" s="5">
        <f>C50+C51</f>
        <v>126.3206</v>
      </c>
      <c r="D49" s="1" t="s">
        <v>50</v>
      </c>
      <c r="E49" s="4">
        <f>E50+E51</f>
        <v>742268.58</v>
      </c>
    </row>
    <row r="50" spans="1:9" s="42" customFormat="1" x14ac:dyDescent="0.25">
      <c r="A50" s="40"/>
      <c r="B50" s="42" t="s">
        <v>124</v>
      </c>
      <c r="C50" s="41">
        <v>18.284099999999999</v>
      </c>
      <c r="D50" s="42" t="s">
        <v>50</v>
      </c>
      <c r="E50" s="43">
        <v>203429.6</v>
      </c>
      <c r="H50" s="41"/>
      <c r="I50" s="43"/>
    </row>
    <row r="51" spans="1:9" s="42" customFormat="1" x14ac:dyDescent="0.25">
      <c r="A51" s="40"/>
      <c r="B51" s="42" t="s">
        <v>125</v>
      </c>
      <c r="C51" s="41">
        <v>108.0365</v>
      </c>
      <c r="D51" s="42" t="s">
        <v>50</v>
      </c>
      <c r="E51" s="43">
        <v>538838.98</v>
      </c>
      <c r="H51" s="41"/>
      <c r="I51" s="43"/>
    </row>
    <row r="52" spans="1:9" x14ac:dyDescent="0.25">
      <c r="B52" s="6" t="s">
        <v>49</v>
      </c>
      <c r="C52" s="44">
        <f>C49</f>
        <v>126.3206</v>
      </c>
      <c r="D52" s="6" t="s">
        <v>50</v>
      </c>
      <c r="E52" s="7">
        <f>SUM(E48:E49)</f>
        <v>742268.58</v>
      </c>
      <c r="H52" s="39"/>
      <c r="I52" s="7"/>
    </row>
    <row r="53" spans="1:9" ht="9.75" customHeight="1" x14ac:dyDescent="0.25">
      <c r="B53" s="6"/>
    </row>
    <row r="54" spans="1:9" x14ac:dyDescent="0.25">
      <c r="A54" s="68" t="s">
        <v>61</v>
      </c>
      <c r="B54" s="68"/>
      <c r="C54" s="39">
        <f>C27+C32+C46+C52</f>
        <v>221.23070000000001</v>
      </c>
      <c r="D54" s="44" t="s">
        <v>50</v>
      </c>
      <c r="E54" s="47">
        <f>E27+E32+E46+E52</f>
        <v>1999393.1600000001</v>
      </c>
      <c r="H54" s="44"/>
      <c r="I54" s="7"/>
    </row>
    <row r="55" spans="1:9" x14ac:dyDescent="0.25">
      <c r="B55" s="6"/>
      <c r="C55" s="48"/>
      <c r="E55" s="4"/>
      <c r="H55" s="48"/>
    </row>
    <row r="56" spans="1:9" ht="26.25" customHeight="1" x14ac:dyDescent="0.25">
      <c r="A56" s="64" t="s">
        <v>117</v>
      </c>
      <c r="B56" s="64"/>
      <c r="C56" s="64"/>
      <c r="D56" s="64"/>
      <c r="E56" s="64"/>
    </row>
    <row r="58" spans="1:9" x14ac:dyDescent="0.25">
      <c r="A58" s="64" t="s">
        <v>1</v>
      </c>
      <c r="B58" s="64"/>
      <c r="C58" s="64"/>
      <c r="D58" s="64"/>
      <c r="E58" s="64"/>
    </row>
    <row r="60" spans="1:9" x14ac:dyDescent="0.25">
      <c r="A60" s="51" t="s">
        <v>27</v>
      </c>
      <c r="B60" s="61" t="s">
        <v>2</v>
      </c>
      <c r="C60" s="61"/>
      <c r="D60" s="61"/>
      <c r="E60" s="56" t="s">
        <v>3</v>
      </c>
    </row>
    <row r="61" spans="1:9" ht="13.5" x14ac:dyDescent="0.25">
      <c r="A61" s="51" t="s">
        <v>28</v>
      </c>
      <c r="B61" s="60" t="s">
        <v>4</v>
      </c>
      <c r="C61" s="60"/>
      <c r="D61" s="60"/>
      <c r="E61" s="2">
        <f>E62+E63+E64+E65</f>
        <v>196334.44</v>
      </c>
    </row>
    <row r="62" spans="1:9" x14ac:dyDescent="0.25">
      <c r="A62" s="51"/>
      <c r="B62" s="61" t="s">
        <v>5</v>
      </c>
      <c r="C62" s="61"/>
      <c r="D62" s="61"/>
      <c r="E62" s="3">
        <f>127854.72+29999.72</f>
        <v>157854.44</v>
      </c>
    </row>
    <row r="63" spans="1:9" x14ac:dyDescent="0.25">
      <c r="A63" s="51"/>
      <c r="B63" s="59" t="s">
        <v>12</v>
      </c>
      <c r="C63" s="59"/>
      <c r="D63" s="59"/>
      <c r="E63" s="3">
        <v>6580</v>
      </c>
    </row>
    <row r="64" spans="1:9" s="20" customFormat="1" x14ac:dyDescent="0.25">
      <c r="A64" s="24"/>
      <c r="B64" s="59" t="s">
        <v>13</v>
      </c>
      <c r="C64" s="59"/>
      <c r="D64" s="59"/>
      <c r="E64" s="23">
        <v>15400</v>
      </c>
      <c r="H64" s="21"/>
      <c r="I64" s="22"/>
    </row>
    <row r="65" spans="1:9" x14ac:dyDescent="0.25">
      <c r="A65" s="51"/>
      <c r="B65" s="59" t="s">
        <v>15</v>
      </c>
      <c r="C65" s="59"/>
      <c r="D65" s="59"/>
      <c r="E65" s="3">
        <v>16500</v>
      </c>
    </row>
    <row r="66" spans="1:9" ht="13.5" x14ac:dyDescent="0.25">
      <c r="A66" s="51" t="s">
        <v>29</v>
      </c>
      <c r="B66" s="60" t="s">
        <v>6</v>
      </c>
      <c r="C66" s="60"/>
      <c r="D66" s="60"/>
      <c r="E66" s="2">
        <f>E67+E68+E69</f>
        <v>1717265.84</v>
      </c>
    </row>
    <row r="67" spans="1:9" x14ac:dyDescent="0.25">
      <c r="A67" s="51"/>
      <c r="B67" s="61" t="s">
        <v>5</v>
      </c>
      <c r="C67" s="61"/>
      <c r="D67" s="61"/>
      <c r="E67" s="3">
        <f>1684386.84+15000</f>
        <v>1699386.84</v>
      </c>
    </row>
    <row r="68" spans="1:9" s="20" customFormat="1" x14ac:dyDescent="0.25">
      <c r="A68" s="24"/>
      <c r="B68" s="59" t="s">
        <v>130</v>
      </c>
      <c r="C68" s="59"/>
      <c r="D68" s="59"/>
      <c r="E68" s="23">
        <v>5999</v>
      </c>
      <c r="H68" s="21"/>
      <c r="I68" s="22"/>
    </row>
    <row r="69" spans="1:9" s="20" customFormat="1" x14ac:dyDescent="0.25">
      <c r="A69" s="24"/>
      <c r="B69" s="59" t="s">
        <v>13</v>
      </c>
      <c r="C69" s="59"/>
      <c r="D69" s="59"/>
      <c r="E69" s="23">
        <v>11880</v>
      </c>
      <c r="H69" s="21"/>
      <c r="I69" s="22"/>
    </row>
    <row r="70" spans="1:9" ht="13.5" x14ac:dyDescent="0.25">
      <c r="A70" s="51" t="s">
        <v>30</v>
      </c>
      <c r="B70" s="60" t="s">
        <v>7</v>
      </c>
      <c r="C70" s="60"/>
      <c r="D70" s="60"/>
      <c r="E70" s="2">
        <f>E71+E72+E73</f>
        <v>3211712.6799999997</v>
      </c>
    </row>
    <row r="71" spans="1:9" x14ac:dyDescent="0.25">
      <c r="A71" s="51"/>
      <c r="B71" s="59" t="s">
        <v>5</v>
      </c>
      <c r="C71" s="59"/>
      <c r="D71" s="59"/>
      <c r="E71" s="3">
        <f>2701208.58+132549.63+205472.86+42321.61</f>
        <v>3081552.6799999997</v>
      </c>
    </row>
    <row r="72" spans="1:9" x14ac:dyDescent="0.25">
      <c r="A72" s="51"/>
      <c r="B72" s="59" t="s">
        <v>12</v>
      </c>
      <c r="C72" s="59"/>
      <c r="D72" s="59"/>
      <c r="E72" s="3">
        <f>64223+3700</f>
        <v>67923</v>
      </c>
    </row>
    <row r="73" spans="1:9" x14ac:dyDescent="0.25">
      <c r="A73" s="51"/>
      <c r="B73" s="59" t="s">
        <v>15</v>
      </c>
      <c r="C73" s="59"/>
      <c r="D73" s="59"/>
      <c r="E73" s="3">
        <v>62237</v>
      </c>
    </row>
    <row r="74" spans="1:9" ht="13.5" x14ac:dyDescent="0.25">
      <c r="A74" s="51" t="s">
        <v>31</v>
      </c>
      <c r="B74" s="60" t="s">
        <v>126</v>
      </c>
      <c r="C74" s="60"/>
      <c r="D74" s="60"/>
      <c r="E74" s="2">
        <f>E76+E77+E75</f>
        <v>243135</v>
      </c>
    </row>
    <row r="75" spans="1:9" s="53" customFormat="1" x14ac:dyDescent="0.25">
      <c r="A75" s="51"/>
      <c r="B75" s="61" t="s">
        <v>156</v>
      </c>
      <c r="C75" s="61"/>
      <c r="D75" s="61"/>
      <c r="E75" s="3">
        <v>38000</v>
      </c>
      <c r="H75" s="5"/>
      <c r="I75" s="4"/>
    </row>
    <row r="76" spans="1:9" x14ac:dyDescent="0.25">
      <c r="A76" s="51"/>
      <c r="B76" s="61" t="s">
        <v>9</v>
      </c>
      <c r="C76" s="61"/>
      <c r="D76" s="61"/>
      <c r="E76" s="3">
        <v>197500</v>
      </c>
    </row>
    <row r="77" spans="1:9" x14ac:dyDescent="0.25">
      <c r="A77" s="51"/>
      <c r="B77" s="61" t="s">
        <v>10</v>
      </c>
      <c r="C77" s="61"/>
      <c r="D77" s="61"/>
      <c r="E77" s="3">
        <f>7635</f>
        <v>7635</v>
      </c>
    </row>
    <row r="78" spans="1:9" ht="13.5" x14ac:dyDescent="0.25">
      <c r="A78" s="51" t="s">
        <v>32</v>
      </c>
      <c r="B78" s="60" t="s">
        <v>8</v>
      </c>
      <c r="C78" s="60"/>
      <c r="D78" s="60"/>
      <c r="E78" s="2">
        <f>E80+E81+E79</f>
        <v>2611211.02</v>
      </c>
    </row>
    <row r="79" spans="1:9" s="53" customFormat="1" x14ac:dyDescent="0.25">
      <c r="A79" s="51"/>
      <c r="B79" s="61" t="s">
        <v>156</v>
      </c>
      <c r="C79" s="61"/>
      <c r="D79" s="61"/>
      <c r="E79" s="3">
        <v>183700</v>
      </c>
      <c r="H79" s="5"/>
      <c r="I79" s="4"/>
    </row>
    <row r="80" spans="1:9" x14ac:dyDescent="0.25">
      <c r="A80" s="51"/>
      <c r="B80" s="61" t="s">
        <v>9</v>
      </c>
      <c r="C80" s="61"/>
      <c r="D80" s="61"/>
      <c r="E80" s="3">
        <v>2225038.09</v>
      </c>
    </row>
    <row r="81" spans="1:9" s="20" customFormat="1" x14ac:dyDescent="0.25">
      <c r="A81" s="24"/>
      <c r="B81" s="59" t="s">
        <v>13</v>
      </c>
      <c r="C81" s="59"/>
      <c r="D81" s="59"/>
      <c r="E81" s="23">
        <f>70729.33+131743.6</f>
        <v>202472.93</v>
      </c>
      <c r="H81" s="21"/>
      <c r="I81" s="22"/>
    </row>
    <row r="82" spans="1:9" s="20" customFormat="1" ht="13.5" x14ac:dyDescent="0.25">
      <c r="A82" s="24" t="s">
        <v>33</v>
      </c>
      <c r="B82" s="67" t="s">
        <v>127</v>
      </c>
      <c r="C82" s="67"/>
      <c r="D82" s="67"/>
      <c r="E82" s="25">
        <f>E83</f>
        <v>7768.03</v>
      </c>
      <c r="H82" s="21"/>
      <c r="I82" s="22"/>
    </row>
    <row r="83" spans="1:9" s="20" customFormat="1" x14ac:dyDescent="0.25">
      <c r="A83" s="24"/>
      <c r="B83" s="59" t="s">
        <v>10</v>
      </c>
      <c r="C83" s="59"/>
      <c r="D83" s="59"/>
      <c r="E83" s="23">
        <v>7768.03</v>
      </c>
      <c r="H83" s="21"/>
      <c r="I83" s="22"/>
    </row>
    <row r="84" spans="1:9" s="20" customFormat="1" ht="13.5" x14ac:dyDescent="0.25">
      <c r="A84" s="24" t="s">
        <v>34</v>
      </c>
      <c r="B84" s="67" t="s">
        <v>11</v>
      </c>
      <c r="C84" s="67"/>
      <c r="D84" s="67"/>
      <c r="E84" s="25">
        <f>SUM(E85:E91)</f>
        <v>56863372.399999999</v>
      </c>
      <c r="H84" s="21"/>
      <c r="I84" s="22"/>
    </row>
    <row r="85" spans="1:9" s="20" customFormat="1" x14ac:dyDescent="0.25">
      <c r="A85" s="24"/>
      <c r="B85" s="59" t="s">
        <v>5</v>
      </c>
      <c r="C85" s="59"/>
      <c r="D85" s="59"/>
      <c r="E85" s="23">
        <f>300281.15+22509302.24+31815807.58</f>
        <v>54625390.969999999</v>
      </c>
      <c r="H85" s="21"/>
      <c r="I85" s="22"/>
    </row>
    <row r="86" spans="1:9" s="20" customFormat="1" x14ac:dyDescent="0.25">
      <c r="A86" s="24"/>
      <c r="B86" s="59" t="s">
        <v>12</v>
      </c>
      <c r="C86" s="59"/>
      <c r="D86" s="59"/>
      <c r="E86" s="23">
        <f>145372.04</f>
        <v>145372.04</v>
      </c>
      <c r="H86" s="21"/>
      <c r="I86" s="22"/>
    </row>
    <row r="87" spans="1:9" s="20" customFormat="1" x14ac:dyDescent="0.25">
      <c r="A87" s="24"/>
      <c r="B87" s="59" t="s">
        <v>129</v>
      </c>
      <c r="C87" s="59"/>
      <c r="D87" s="59"/>
      <c r="E87" s="23">
        <v>130532.45</v>
      </c>
      <c r="H87" s="21"/>
      <c r="I87" s="22"/>
    </row>
    <row r="88" spans="1:9" s="20" customFormat="1" x14ac:dyDescent="0.25">
      <c r="A88" s="24"/>
      <c r="B88" s="59" t="s">
        <v>130</v>
      </c>
      <c r="C88" s="59"/>
      <c r="D88" s="59"/>
      <c r="E88" s="23">
        <v>94282.22</v>
      </c>
      <c r="H88" s="21"/>
      <c r="I88" s="22"/>
    </row>
    <row r="89" spans="1:9" s="20" customFormat="1" x14ac:dyDescent="0.25">
      <c r="A89" s="24"/>
      <c r="B89" s="59" t="s">
        <v>13</v>
      </c>
      <c r="C89" s="59"/>
      <c r="D89" s="59"/>
      <c r="E89" s="23">
        <v>128908.5</v>
      </c>
      <c r="H89" s="21"/>
      <c r="I89" s="22"/>
    </row>
    <row r="90" spans="1:9" s="20" customFormat="1" x14ac:dyDescent="0.25">
      <c r="A90" s="24"/>
      <c r="B90" s="59" t="s">
        <v>14</v>
      </c>
      <c r="C90" s="59"/>
      <c r="D90" s="59"/>
      <c r="E90" s="23">
        <v>1252347.42</v>
      </c>
      <c r="H90" s="21"/>
      <c r="I90" s="22"/>
    </row>
    <row r="91" spans="1:9" s="20" customFormat="1" x14ac:dyDescent="0.25">
      <c r="A91" s="24"/>
      <c r="B91" s="59" t="s">
        <v>15</v>
      </c>
      <c r="C91" s="59"/>
      <c r="D91" s="59"/>
      <c r="E91" s="23">
        <v>486538.8</v>
      </c>
      <c r="H91" s="21"/>
      <c r="I91" s="22"/>
    </row>
    <row r="92" spans="1:9" s="20" customFormat="1" ht="13.5" x14ac:dyDescent="0.25">
      <c r="A92" s="24" t="s">
        <v>35</v>
      </c>
      <c r="B92" s="67" t="s">
        <v>17</v>
      </c>
      <c r="C92" s="67"/>
      <c r="D92" s="67"/>
      <c r="E92" s="25">
        <f>E93+E94</f>
        <v>5695799.1200000001</v>
      </c>
      <c r="F92" s="22"/>
      <c r="H92" s="21"/>
      <c r="I92" s="22"/>
    </row>
    <row r="93" spans="1:9" s="20" customFormat="1" x14ac:dyDescent="0.25">
      <c r="A93" s="24"/>
      <c r="B93" s="59" t="s">
        <v>18</v>
      </c>
      <c r="C93" s="59"/>
      <c r="D93" s="59"/>
      <c r="E93" s="23">
        <f>1762000.52+1835812.86</f>
        <v>3597813.38</v>
      </c>
      <c r="H93" s="21"/>
      <c r="I93" s="22"/>
    </row>
    <row r="94" spans="1:9" s="20" customFormat="1" x14ac:dyDescent="0.25">
      <c r="A94" s="24"/>
      <c r="B94" s="59" t="s">
        <v>19</v>
      </c>
      <c r="C94" s="59"/>
      <c r="D94" s="59"/>
      <c r="E94" s="23">
        <f>60617.73+450189.02+1524726.6+62452.39</f>
        <v>2097985.7400000002</v>
      </c>
      <c r="H94" s="21"/>
      <c r="I94" s="22"/>
    </row>
    <row r="95" spans="1:9" x14ac:dyDescent="0.25">
      <c r="A95" s="51"/>
      <c r="B95" s="73" t="s">
        <v>62</v>
      </c>
      <c r="C95" s="73"/>
      <c r="D95" s="73"/>
      <c r="E95" s="2">
        <f>E61+E66+E70+E78+E84+E92+E82</f>
        <v>70303463.530000001</v>
      </c>
    </row>
    <row r="98" spans="1:5" x14ac:dyDescent="0.25">
      <c r="A98" s="64" t="s">
        <v>63</v>
      </c>
      <c r="B98" s="64"/>
      <c r="C98" s="64"/>
      <c r="D98" s="64"/>
      <c r="E98" s="64"/>
    </row>
    <row r="99" spans="1:5" x14ac:dyDescent="0.25">
      <c r="A99" s="50" t="s">
        <v>28</v>
      </c>
      <c r="B99" s="64" t="s">
        <v>106</v>
      </c>
      <c r="C99" s="64"/>
      <c r="D99" s="64"/>
      <c r="E99" s="4">
        <v>349000</v>
      </c>
    </row>
    <row r="100" spans="1:5" ht="31.5" customHeight="1" x14ac:dyDescent="0.25">
      <c r="A100" s="50" t="s">
        <v>29</v>
      </c>
      <c r="B100" s="64" t="s">
        <v>138</v>
      </c>
      <c r="C100" s="64"/>
      <c r="D100" s="64"/>
      <c r="E100" s="4">
        <f>356580.74+33000+43000</f>
        <v>432580.74</v>
      </c>
    </row>
    <row r="101" spans="1:5" x14ac:dyDescent="0.25">
      <c r="A101" s="50" t="s">
        <v>30</v>
      </c>
      <c r="B101" s="64" t="s">
        <v>64</v>
      </c>
      <c r="C101" s="64"/>
      <c r="D101" s="64"/>
      <c r="E101" s="4">
        <v>1930868.45</v>
      </c>
    </row>
    <row r="102" spans="1:5" ht="10.5" customHeight="1" x14ac:dyDescent="0.25">
      <c r="B102" s="6"/>
      <c r="E102" s="4"/>
    </row>
    <row r="103" spans="1:5" x14ac:dyDescent="0.25">
      <c r="A103" s="68" t="s">
        <v>65</v>
      </c>
      <c r="B103" s="68"/>
      <c r="C103" s="68"/>
      <c r="D103" s="68"/>
      <c r="E103" s="7">
        <f>SUM(E99:E102)</f>
        <v>2712449.19</v>
      </c>
    </row>
    <row r="104" spans="1:5" x14ac:dyDescent="0.25">
      <c r="B104" s="6"/>
    </row>
    <row r="105" spans="1:5" x14ac:dyDescent="0.25">
      <c r="B105" s="6"/>
    </row>
    <row r="106" spans="1:5" x14ac:dyDescent="0.25">
      <c r="A106" s="51" t="s">
        <v>27</v>
      </c>
      <c r="B106" s="73" t="s">
        <v>20</v>
      </c>
      <c r="C106" s="73"/>
      <c r="D106" s="73"/>
      <c r="E106" s="57" t="s">
        <v>21</v>
      </c>
    </row>
    <row r="107" spans="1:5" x14ac:dyDescent="0.25">
      <c r="A107" s="51" t="s">
        <v>28</v>
      </c>
      <c r="B107" s="73" t="s">
        <v>22</v>
      </c>
      <c r="C107" s="73"/>
      <c r="D107" s="73"/>
      <c r="E107" s="2">
        <v>1999393.16</v>
      </c>
    </row>
    <row r="108" spans="1:5" x14ac:dyDescent="0.25">
      <c r="A108" s="51" t="s">
        <v>29</v>
      </c>
      <c r="B108" s="73" t="s">
        <v>23</v>
      </c>
      <c r="C108" s="73"/>
      <c r="D108" s="73"/>
      <c r="E108" s="2">
        <f>E95</f>
        <v>70303463.530000001</v>
      </c>
    </row>
    <row r="109" spans="1:5" x14ac:dyDescent="0.25">
      <c r="A109" s="51" t="s">
        <v>30</v>
      </c>
      <c r="B109" s="73" t="s">
        <v>24</v>
      </c>
      <c r="C109" s="73"/>
      <c r="D109" s="73"/>
      <c r="E109" s="2">
        <f>E103</f>
        <v>2712449.19</v>
      </c>
    </row>
    <row r="110" spans="1:5" x14ac:dyDescent="0.25">
      <c r="A110" s="69" t="s">
        <v>25</v>
      </c>
      <c r="B110" s="70"/>
      <c r="C110" s="70"/>
      <c r="D110" s="71"/>
      <c r="E110" s="2">
        <f>SUM(E107:E109)</f>
        <v>75015305.879999995</v>
      </c>
    </row>
    <row r="111" spans="1:5" x14ac:dyDescent="0.25">
      <c r="B111" s="6"/>
    </row>
    <row r="112" spans="1:5" x14ac:dyDescent="0.25">
      <c r="B112" s="6"/>
    </row>
    <row r="113" spans="1:9" x14ac:dyDescent="0.25">
      <c r="A113" s="64" t="s">
        <v>143</v>
      </c>
      <c r="B113" s="64"/>
      <c r="C113" s="64"/>
      <c r="D113" s="64"/>
      <c r="E113" s="64"/>
    </row>
    <row r="114" spans="1:9" s="33" customFormat="1" ht="24" customHeight="1" x14ac:dyDescent="0.25">
      <c r="A114" s="58" t="s">
        <v>28</v>
      </c>
      <c r="B114" s="72" t="s">
        <v>144</v>
      </c>
      <c r="C114" s="72"/>
      <c r="D114" s="72"/>
      <c r="E114" s="72"/>
      <c r="H114" s="34"/>
      <c r="I114" s="35"/>
    </row>
    <row r="115" spans="1:9" s="33" customFormat="1" ht="26.25" customHeight="1" x14ac:dyDescent="0.25">
      <c r="A115" s="58" t="s">
        <v>29</v>
      </c>
      <c r="B115" s="72" t="s">
        <v>147</v>
      </c>
      <c r="C115" s="72"/>
      <c r="D115" s="72"/>
      <c r="E115" s="72"/>
      <c r="H115" s="34"/>
      <c r="I115" s="35"/>
    </row>
    <row r="116" spans="1:9" s="33" customFormat="1" ht="26.25" customHeight="1" x14ac:dyDescent="0.25">
      <c r="A116" s="58" t="s">
        <v>30</v>
      </c>
      <c r="B116" s="72" t="s">
        <v>148</v>
      </c>
      <c r="C116" s="72"/>
      <c r="D116" s="72"/>
      <c r="E116" s="72"/>
      <c r="H116" s="34"/>
      <c r="I116" s="35"/>
    </row>
    <row r="117" spans="1:9" s="33" customFormat="1" ht="39" customHeight="1" x14ac:dyDescent="0.25">
      <c r="A117" s="58" t="s">
        <v>31</v>
      </c>
      <c r="B117" s="72" t="s">
        <v>140</v>
      </c>
      <c r="C117" s="72"/>
      <c r="D117" s="72"/>
      <c r="E117" s="72"/>
      <c r="H117" s="34"/>
      <c r="I117" s="35"/>
    </row>
    <row r="118" spans="1:9" s="33" customFormat="1" ht="53.25" customHeight="1" x14ac:dyDescent="0.25">
      <c r="A118" s="58" t="s">
        <v>32</v>
      </c>
      <c r="B118" s="72" t="s">
        <v>149</v>
      </c>
      <c r="C118" s="72"/>
      <c r="D118" s="72"/>
      <c r="E118" s="72"/>
      <c r="H118" s="34"/>
      <c r="I118" s="35"/>
    </row>
    <row r="119" spans="1:9" ht="15.75" customHeight="1" x14ac:dyDescent="0.25"/>
    <row r="120" spans="1:9" x14ac:dyDescent="0.25">
      <c r="B120" s="1" t="s">
        <v>26</v>
      </c>
    </row>
    <row r="121" spans="1:9" x14ac:dyDescent="0.25">
      <c r="A121" s="64" t="s">
        <v>150</v>
      </c>
      <c r="B121" s="64"/>
      <c r="C121" s="64"/>
      <c r="D121" s="64"/>
      <c r="E121" s="64"/>
    </row>
    <row r="122" spans="1:9" ht="15" customHeight="1" x14ac:dyDescent="0.25">
      <c r="A122" s="64" t="s">
        <v>151</v>
      </c>
      <c r="B122" s="64"/>
      <c r="C122" s="64"/>
      <c r="D122" s="64"/>
      <c r="E122" s="64"/>
    </row>
    <row r="123" spans="1:9" ht="18" customHeight="1" x14ac:dyDescent="0.25">
      <c r="A123" s="64"/>
      <c r="B123" s="64"/>
      <c r="C123" s="64"/>
      <c r="D123" s="64"/>
      <c r="E123" s="64"/>
    </row>
    <row r="125" spans="1:9" x14ac:dyDescent="0.25">
      <c r="A125" s="64" t="s">
        <v>152</v>
      </c>
      <c r="B125" s="64"/>
      <c r="C125" s="64"/>
      <c r="D125" s="64"/>
      <c r="E125" s="64"/>
    </row>
    <row r="127" spans="1:9" ht="30" customHeight="1" x14ac:dyDescent="0.25">
      <c r="A127" s="64" t="s">
        <v>153</v>
      </c>
      <c r="B127" s="64"/>
      <c r="C127" s="64"/>
      <c r="D127" s="64"/>
      <c r="E127" s="64"/>
    </row>
    <row r="128" spans="1:9" ht="9" customHeight="1" x14ac:dyDescent="0.25">
      <c r="A128" s="64"/>
      <c r="B128" s="64"/>
      <c r="C128" s="64"/>
      <c r="D128" s="64"/>
      <c r="E128" s="64"/>
    </row>
    <row r="129" spans="1:5" ht="6.75" customHeight="1" x14ac:dyDescent="0.25"/>
    <row r="130" spans="1:5" x14ac:dyDescent="0.25">
      <c r="A130" s="64" t="s">
        <v>154</v>
      </c>
      <c r="B130" s="64"/>
      <c r="C130" s="64"/>
      <c r="D130" s="64"/>
      <c r="E130" s="64"/>
    </row>
    <row r="131" spans="1:5" ht="6" customHeight="1" x14ac:dyDescent="0.25"/>
    <row r="132" spans="1:5" x14ac:dyDescent="0.25">
      <c r="A132" s="64" t="s">
        <v>155</v>
      </c>
      <c r="B132" s="64"/>
      <c r="C132" s="64"/>
      <c r="D132" s="64"/>
      <c r="E132" s="64"/>
    </row>
  </sheetData>
  <mergeCells count="70">
    <mergeCell ref="B117:E117"/>
    <mergeCell ref="B118:E118"/>
    <mergeCell ref="B83:D83"/>
    <mergeCell ref="B93:D93"/>
    <mergeCell ref="B109:D109"/>
    <mergeCell ref="B94:D94"/>
    <mergeCell ref="B95:D95"/>
    <mergeCell ref="A98:E98"/>
    <mergeCell ref="B99:D99"/>
    <mergeCell ref="B100:D100"/>
    <mergeCell ref="B101:D101"/>
    <mergeCell ref="A103:D103"/>
    <mergeCell ref="B106:D106"/>
    <mergeCell ref="B107:D107"/>
    <mergeCell ref="B108:D108"/>
    <mergeCell ref="B86:D86"/>
    <mergeCell ref="B88:D88"/>
    <mergeCell ref="B89:D89"/>
    <mergeCell ref="B90:D90"/>
    <mergeCell ref="B91:D91"/>
    <mergeCell ref="A132:E132"/>
    <mergeCell ref="A122:E123"/>
    <mergeCell ref="A110:D110"/>
    <mergeCell ref="A113:E113"/>
    <mergeCell ref="B114:E114"/>
    <mergeCell ref="A121:E121"/>
    <mergeCell ref="A125:E125"/>
    <mergeCell ref="A127:E127"/>
    <mergeCell ref="A128:E128"/>
    <mergeCell ref="A130:E130"/>
    <mergeCell ref="B115:E115"/>
    <mergeCell ref="B116:E116"/>
    <mergeCell ref="B92:D92"/>
    <mergeCell ref="A54:B54"/>
    <mergeCell ref="B62:D62"/>
    <mergeCell ref="B85:D85"/>
    <mergeCell ref="B74:D74"/>
    <mergeCell ref="B76:D76"/>
    <mergeCell ref="B77:D77"/>
    <mergeCell ref="B78:D78"/>
    <mergeCell ref="B80:D80"/>
    <mergeCell ref="B84:D84"/>
    <mergeCell ref="B82:D82"/>
    <mergeCell ref="B61:D61"/>
    <mergeCell ref="B87:D87"/>
    <mergeCell ref="B70:D70"/>
    <mergeCell ref="B69:D69"/>
    <mergeCell ref="B65:D65"/>
    <mergeCell ref="B64:D64"/>
    <mergeCell ref="A3:E3"/>
    <mergeCell ref="B29:E29"/>
    <mergeCell ref="B34:E34"/>
    <mergeCell ref="A56:E56"/>
    <mergeCell ref="B60:D60"/>
    <mergeCell ref="A58:E58"/>
    <mergeCell ref="A44:E44"/>
    <mergeCell ref="B9:E9"/>
    <mergeCell ref="A7:E7"/>
    <mergeCell ref="A4:E4"/>
    <mergeCell ref="A5:E5"/>
    <mergeCell ref="B63:D63"/>
    <mergeCell ref="B68:D68"/>
    <mergeCell ref="B66:D66"/>
    <mergeCell ref="B67:D67"/>
    <mergeCell ref="B81:D81"/>
    <mergeCell ref="B73:D73"/>
    <mergeCell ref="B71:D71"/>
    <mergeCell ref="B72:D72"/>
    <mergeCell ref="B75:D75"/>
    <mergeCell ref="B79:D7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1"/>
  <sheetViews>
    <sheetView tabSelected="1" topLeftCell="A26" zoomScale="200" zoomScaleNormal="200" workbookViewId="0">
      <selection activeCell="A30" sqref="A30"/>
    </sheetView>
  </sheetViews>
  <sheetFormatPr defaultColWidth="8.7109375" defaultRowHeight="11.25" x14ac:dyDescent="0.25"/>
  <cols>
    <col min="1" max="1" width="19.140625" style="16" bestFit="1" customWidth="1"/>
    <col min="2" max="2" width="9.5703125" style="8" bestFit="1" customWidth="1"/>
    <col min="3" max="3" width="8.85546875" style="8" customWidth="1"/>
    <col min="4" max="4" width="8.140625" style="8" customWidth="1"/>
    <col min="5" max="5" width="7.85546875" style="8" bestFit="1" customWidth="1"/>
    <col min="6" max="7" width="8.140625" style="8" customWidth="1"/>
    <col min="8" max="10" width="7.7109375" style="8" customWidth="1"/>
    <col min="11" max="11" width="9.5703125" style="8" bestFit="1" customWidth="1"/>
    <col min="12" max="12" width="8.7109375" style="8"/>
    <col min="13" max="13" width="9.5703125" style="8" customWidth="1"/>
    <col min="14" max="14" width="8.7109375" style="8" bestFit="1" customWidth="1"/>
    <col min="15" max="15" width="7.7109375" style="8" customWidth="1"/>
    <col min="16" max="16384" width="8.7109375" style="8"/>
  </cols>
  <sheetData>
    <row r="1" spans="1:15" s="18" customFormat="1" ht="10.5" x14ac:dyDescent="0.25">
      <c r="N1" s="75" t="s">
        <v>142</v>
      </c>
      <c r="O1" s="75"/>
    </row>
    <row r="2" spans="1:15" ht="11.25" customHeight="1" x14ac:dyDescent="0.25">
      <c r="A2" s="74" t="s">
        <v>101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1.25" customHeight="1" x14ac:dyDescent="0.25">
      <c r="A3" s="74" t="s">
        <v>145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5" spans="1:15" s="11" customFormat="1" ht="46.5" customHeight="1" x14ac:dyDescent="0.25">
      <c r="A5" s="26" t="s">
        <v>118</v>
      </c>
      <c r="B5" s="27" t="s">
        <v>102</v>
      </c>
      <c r="C5" s="27" t="s">
        <v>79</v>
      </c>
      <c r="D5" s="27" t="s">
        <v>80</v>
      </c>
      <c r="E5" s="27" t="s">
        <v>81</v>
      </c>
      <c r="F5" s="27" t="s">
        <v>82</v>
      </c>
      <c r="G5" s="27" t="s">
        <v>132</v>
      </c>
      <c r="H5" s="27" t="s">
        <v>83</v>
      </c>
      <c r="I5" s="27" t="s">
        <v>84</v>
      </c>
      <c r="J5" s="27" t="s">
        <v>85</v>
      </c>
      <c r="K5" s="27" t="s">
        <v>86</v>
      </c>
      <c r="L5" s="27" t="s">
        <v>87</v>
      </c>
      <c r="M5" s="27" t="s">
        <v>131</v>
      </c>
      <c r="N5" s="27" t="s">
        <v>88</v>
      </c>
      <c r="O5" s="27" t="s">
        <v>89</v>
      </c>
    </row>
    <row r="6" spans="1:15" x14ac:dyDescent="0.25">
      <c r="A6" s="28" t="s">
        <v>66</v>
      </c>
      <c r="B6" s="30">
        <f>SUM(C6:O6)</f>
        <v>5.44</v>
      </c>
      <c r="C6" s="31">
        <v>0.28000000000000003</v>
      </c>
      <c r="D6" s="31">
        <v>0.08</v>
      </c>
      <c r="E6" s="31">
        <v>0.03</v>
      </c>
      <c r="F6" s="31">
        <v>0.1</v>
      </c>
      <c r="G6" s="31"/>
      <c r="H6" s="31"/>
      <c r="I6" s="31"/>
      <c r="J6" s="31"/>
      <c r="K6" s="30">
        <v>4.4400000000000004</v>
      </c>
      <c r="L6" s="31"/>
      <c r="M6" s="31">
        <v>0.28999999999999998</v>
      </c>
      <c r="N6" s="31"/>
      <c r="O6" s="31">
        <v>0.22</v>
      </c>
    </row>
    <row r="7" spans="1:15" x14ac:dyDescent="0.25">
      <c r="A7" s="28" t="s">
        <v>67</v>
      </c>
      <c r="B7" s="30">
        <f t="shared" ref="B7:B18" si="0">SUM(C7:O7)</f>
        <v>20.620699999999999</v>
      </c>
      <c r="C7" s="31">
        <f>1.7875+0.4963+0.1231+0.005+0.619+0.0123+0.0163+0.295-2.2838</f>
        <v>1.0707000000000004</v>
      </c>
      <c r="D7" s="31">
        <f>0.1931+2.5552-2.5552</f>
        <v>0.19309999999999983</v>
      </c>
      <c r="E7" s="31">
        <f>0.0762+0.0093+0.1089</f>
        <v>0.19440000000000002</v>
      </c>
      <c r="F7" s="31"/>
      <c r="G7" s="31">
        <f>0.0644+0.3161+0.6644+1.5762+2.4607+0.0914-0.0914</f>
        <v>5.0818000000000003</v>
      </c>
      <c r="H7" s="31">
        <f>0.1378-0.1378</f>
        <v>0</v>
      </c>
      <c r="I7" s="31">
        <v>2.7199999999999998E-2</v>
      </c>
      <c r="J7" s="31"/>
      <c r="K7" s="30">
        <v>10.874000000000001</v>
      </c>
      <c r="L7" s="31">
        <f>0.1005+0.797+0.0691+0.3814+0.2067+0.5052</f>
        <v>2.0598999999999998</v>
      </c>
      <c r="M7" s="31"/>
      <c r="N7" s="31">
        <v>1.1195999999999999</v>
      </c>
      <c r="O7" s="31"/>
    </row>
    <row r="8" spans="1:15" x14ac:dyDescent="0.25">
      <c r="A8" s="28" t="s">
        <v>68</v>
      </c>
      <c r="B8" s="30">
        <f t="shared" si="0"/>
        <v>16.252199999999998</v>
      </c>
      <c r="C8" s="31">
        <v>0.94</v>
      </c>
      <c r="D8" s="31">
        <v>0.43</v>
      </c>
      <c r="E8" s="31">
        <v>0.37</v>
      </c>
      <c r="F8" s="31"/>
      <c r="G8" s="31">
        <v>0.59</v>
      </c>
      <c r="H8" s="31">
        <v>0.38</v>
      </c>
      <c r="I8" s="31"/>
      <c r="J8" s="31"/>
      <c r="K8" s="30">
        <v>10.4322</v>
      </c>
      <c r="L8" s="31">
        <v>0.92</v>
      </c>
      <c r="M8" s="31"/>
      <c r="N8" s="31">
        <v>1.25</v>
      </c>
      <c r="O8" s="31">
        <v>0.94</v>
      </c>
    </row>
    <row r="9" spans="1:15" x14ac:dyDescent="0.25">
      <c r="A9" s="28" t="s">
        <v>69</v>
      </c>
      <c r="B9" s="30">
        <f t="shared" si="0"/>
        <v>5.3086000000000002</v>
      </c>
      <c r="C9" s="31">
        <v>7.8E-2</v>
      </c>
      <c r="D9" s="31"/>
      <c r="E9" s="31"/>
      <c r="F9" s="31"/>
      <c r="G9" s="31"/>
      <c r="H9" s="31"/>
      <c r="I9" s="31"/>
      <c r="J9" s="31"/>
      <c r="K9" s="30">
        <f>0.03+0.63+0.31+0.19+0.29+0.57+0.19+0.21+0.05+0.12+0.14+0.33+0.61+0.79+0.45+0.05+0.11</f>
        <v>5.07</v>
      </c>
      <c r="L9" s="31">
        <v>4.58E-2</v>
      </c>
      <c r="M9" s="31"/>
      <c r="N9" s="31"/>
      <c r="O9" s="31">
        <v>0.1148</v>
      </c>
    </row>
    <row r="10" spans="1:15" x14ac:dyDescent="0.25">
      <c r="A10" s="28" t="s">
        <v>70</v>
      </c>
      <c r="B10" s="30">
        <f t="shared" si="0"/>
        <v>5.9653999999999998</v>
      </c>
      <c r="C10" s="31">
        <f>0.1+0.1</f>
        <v>0.2</v>
      </c>
      <c r="D10" s="31"/>
      <c r="E10" s="31"/>
      <c r="F10" s="31"/>
      <c r="G10" s="31"/>
      <c r="H10" s="31"/>
      <c r="I10" s="31"/>
      <c r="J10" s="31">
        <v>0.27</v>
      </c>
      <c r="K10" s="30">
        <f>0.02+0.08+0.28+0.39+0.53+0.1+0.29+0.46+0.13+0.04+0.13+0.09+0.59+0.34+0.14+0.32+0.37+0.8421+0.28</f>
        <v>5.4221000000000004</v>
      </c>
      <c r="L10" s="31">
        <f>0.0079+0.16-0.0946</f>
        <v>7.329999999999999E-2</v>
      </c>
      <c r="M10" s="31"/>
      <c r="N10" s="31"/>
      <c r="O10" s="31"/>
    </row>
    <row r="11" spans="1:15" x14ac:dyDescent="0.25">
      <c r="A11" s="28" t="s">
        <v>71</v>
      </c>
      <c r="B11" s="30">
        <f t="shared" si="0"/>
        <v>12.647900000000002</v>
      </c>
      <c r="C11" s="31">
        <v>0.8</v>
      </c>
      <c r="D11" s="31"/>
      <c r="E11" s="31">
        <v>1.0291999999999999</v>
      </c>
      <c r="F11" s="31"/>
      <c r="G11" s="31"/>
      <c r="H11" s="31"/>
      <c r="I11" s="31"/>
      <c r="J11" s="31">
        <v>0.59</v>
      </c>
      <c r="K11" s="30">
        <v>9.4600000000000009</v>
      </c>
      <c r="L11" s="31">
        <v>0.06</v>
      </c>
      <c r="M11" s="31">
        <v>9.8699999999999996E-2</v>
      </c>
      <c r="N11" s="31">
        <v>0.46</v>
      </c>
      <c r="O11" s="31">
        <v>0.15</v>
      </c>
    </row>
    <row r="12" spans="1:15" x14ac:dyDescent="0.25">
      <c r="A12" s="28" t="s">
        <v>72</v>
      </c>
      <c r="B12" s="30">
        <f t="shared" si="0"/>
        <v>24.993499999999997</v>
      </c>
      <c r="C12" s="31">
        <v>6.3773</v>
      </c>
      <c r="D12" s="31">
        <v>0.02</v>
      </c>
      <c r="E12" s="31">
        <v>2.7360000000000002</v>
      </c>
      <c r="F12" s="31">
        <v>0.60860000000000003</v>
      </c>
      <c r="G12" s="31">
        <v>0.15770000000000001</v>
      </c>
      <c r="H12" s="31">
        <v>0.76</v>
      </c>
      <c r="I12" s="31">
        <v>0.08</v>
      </c>
      <c r="J12" s="31">
        <v>0.1</v>
      </c>
      <c r="K12" s="30">
        <v>12.299899999999999</v>
      </c>
      <c r="L12" s="31">
        <f>0.2758-0.0259</f>
        <v>0.24989999999999998</v>
      </c>
      <c r="M12" s="31">
        <v>0.1741</v>
      </c>
      <c r="N12" s="31">
        <v>1.37</v>
      </c>
      <c r="O12" s="31">
        <v>0.06</v>
      </c>
    </row>
    <row r="13" spans="1:15" x14ac:dyDescent="0.25">
      <c r="A13" s="28" t="s">
        <v>73</v>
      </c>
      <c r="B13" s="30">
        <f t="shared" si="0"/>
        <v>6.9429999999999996</v>
      </c>
      <c r="C13" s="31">
        <v>0.1</v>
      </c>
      <c r="D13" s="31"/>
      <c r="E13" s="31">
        <v>0.41</v>
      </c>
      <c r="F13" s="31">
        <v>0.68</v>
      </c>
      <c r="G13" s="31"/>
      <c r="H13" s="31"/>
      <c r="I13" s="31"/>
      <c r="J13" s="31">
        <v>0.48</v>
      </c>
      <c r="K13" s="30">
        <v>4.8529999999999998</v>
      </c>
      <c r="L13" s="31">
        <v>0.36</v>
      </c>
      <c r="M13" s="31"/>
      <c r="N13" s="31">
        <v>0.06</v>
      </c>
      <c r="O13" s="31"/>
    </row>
    <row r="14" spans="1:15" x14ac:dyDescent="0.25">
      <c r="A14" s="28" t="s">
        <v>74</v>
      </c>
      <c r="B14" s="30">
        <f t="shared" si="0"/>
        <v>7.0600000000000005</v>
      </c>
      <c r="C14" s="31"/>
      <c r="D14" s="31"/>
      <c r="E14" s="31">
        <v>0.25</v>
      </c>
      <c r="F14" s="31"/>
      <c r="G14" s="31"/>
      <c r="H14" s="31"/>
      <c r="I14" s="31"/>
      <c r="J14" s="31"/>
      <c r="K14" s="30">
        <v>6.28</v>
      </c>
      <c r="L14" s="31"/>
      <c r="M14" s="31"/>
      <c r="N14" s="31">
        <v>0.53</v>
      </c>
      <c r="O14" s="31"/>
    </row>
    <row r="15" spans="1:15" x14ac:dyDescent="0.25">
      <c r="A15" s="28" t="s">
        <v>75</v>
      </c>
      <c r="B15" s="30">
        <f t="shared" si="0"/>
        <v>10.039999999999999</v>
      </c>
      <c r="C15" s="31"/>
      <c r="D15" s="31"/>
      <c r="E15" s="31"/>
      <c r="F15" s="31"/>
      <c r="G15" s="31"/>
      <c r="H15" s="31"/>
      <c r="I15" s="31"/>
      <c r="J15" s="31">
        <v>0.1</v>
      </c>
      <c r="K15" s="30">
        <v>9.66</v>
      </c>
      <c r="L15" s="31">
        <v>0.01</v>
      </c>
      <c r="M15" s="31">
        <v>0.27</v>
      </c>
      <c r="N15" s="31"/>
      <c r="O15" s="31"/>
    </row>
    <row r="16" spans="1:15" x14ac:dyDescent="0.25">
      <c r="A16" s="28" t="s">
        <v>76</v>
      </c>
      <c r="B16" s="30">
        <f t="shared" si="0"/>
        <v>15.060299999999998</v>
      </c>
      <c r="C16" s="31">
        <v>0.74680000000000002</v>
      </c>
      <c r="D16" s="31"/>
      <c r="E16" s="31">
        <v>0.87019999999999997</v>
      </c>
      <c r="F16" s="31"/>
      <c r="G16" s="31"/>
      <c r="H16" s="31"/>
      <c r="I16" s="31">
        <v>0.1215</v>
      </c>
      <c r="J16" s="31"/>
      <c r="K16" s="30">
        <v>10.742699999999999</v>
      </c>
      <c r="L16" s="31">
        <v>0.52470000000000006</v>
      </c>
      <c r="M16" s="31">
        <v>0.45150000000000001</v>
      </c>
      <c r="N16" s="31">
        <v>1.6029</v>
      </c>
      <c r="O16" s="31"/>
    </row>
    <row r="17" spans="1:15" x14ac:dyDescent="0.25">
      <c r="A17" s="28" t="s">
        <v>77</v>
      </c>
      <c r="B17" s="30">
        <f t="shared" si="0"/>
        <v>18.657900000000001</v>
      </c>
      <c r="C17" s="31">
        <v>1.5602</v>
      </c>
      <c r="D17" s="31"/>
      <c r="E17" s="31">
        <v>0.61</v>
      </c>
      <c r="F17" s="31">
        <v>0.11</v>
      </c>
      <c r="G17" s="31">
        <v>0.15</v>
      </c>
      <c r="H17" s="31"/>
      <c r="I17" s="31"/>
      <c r="J17" s="31">
        <v>0.5</v>
      </c>
      <c r="K17" s="30">
        <v>14.153</v>
      </c>
      <c r="L17" s="31">
        <v>0.16470000000000001</v>
      </c>
      <c r="M17" s="31">
        <v>1.17</v>
      </c>
      <c r="N17" s="31">
        <v>0.24</v>
      </c>
      <c r="O17" s="31"/>
    </row>
    <row r="18" spans="1:15" x14ac:dyDescent="0.25">
      <c r="A18" s="28" t="s">
        <v>78</v>
      </c>
      <c r="B18" s="30">
        <f t="shared" si="0"/>
        <v>5.9110999999999994</v>
      </c>
      <c r="C18" s="31">
        <v>1.1100000000000001</v>
      </c>
      <c r="D18" s="31"/>
      <c r="E18" s="31"/>
      <c r="F18" s="31">
        <v>0.03</v>
      </c>
      <c r="G18" s="31"/>
      <c r="H18" s="31"/>
      <c r="I18" s="31"/>
      <c r="J18" s="31">
        <f>0.13+0.35</f>
        <v>0.48</v>
      </c>
      <c r="K18" s="30">
        <f>0.12+0.47+0.28+0.38+0.45+0.08+0.3+0.3+0.71+0.11+0.03</f>
        <v>3.2299999999999995</v>
      </c>
      <c r="L18" s="31">
        <v>0.09</v>
      </c>
      <c r="M18" s="31">
        <v>0.02</v>
      </c>
      <c r="N18" s="31">
        <v>0.95109999999999995</v>
      </c>
      <c r="O18" s="31"/>
    </row>
    <row r="19" spans="1:15" s="15" customFormat="1" ht="18" customHeight="1" x14ac:dyDescent="0.25">
      <c r="A19" s="29" t="s">
        <v>103</v>
      </c>
      <c r="B19" s="32">
        <f>SUM(B6:B18)</f>
        <v>154.9006</v>
      </c>
      <c r="C19" s="32">
        <f t="shared" ref="C19:O19" si="1">SUM(C6:C18)</f>
        <v>13.263</v>
      </c>
      <c r="D19" s="32">
        <f t="shared" si="1"/>
        <v>0.72309999999999985</v>
      </c>
      <c r="E19" s="32">
        <f t="shared" si="1"/>
        <v>6.4998000000000005</v>
      </c>
      <c r="F19" s="32">
        <f t="shared" si="1"/>
        <v>1.5286000000000002</v>
      </c>
      <c r="G19" s="32">
        <f t="shared" si="1"/>
        <v>5.9795000000000007</v>
      </c>
      <c r="H19" s="32">
        <f t="shared" si="1"/>
        <v>1.1400000000000001</v>
      </c>
      <c r="I19" s="32">
        <f t="shared" si="1"/>
        <v>0.22870000000000001</v>
      </c>
      <c r="J19" s="32">
        <f t="shared" si="1"/>
        <v>2.52</v>
      </c>
      <c r="K19" s="32">
        <f t="shared" si="1"/>
        <v>106.91690000000001</v>
      </c>
      <c r="L19" s="32">
        <f t="shared" si="1"/>
        <v>4.5582999999999991</v>
      </c>
      <c r="M19" s="32">
        <f t="shared" si="1"/>
        <v>2.4742999999999999</v>
      </c>
      <c r="N19" s="32">
        <f t="shared" si="1"/>
        <v>7.5836000000000006</v>
      </c>
      <c r="O19" s="32">
        <f t="shared" si="1"/>
        <v>1.4847999999999999</v>
      </c>
    </row>
    <row r="21" spans="1:15" ht="33.75" x14ac:dyDescent="0.25">
      <c r="A21" s="26" t="s">
        <v>119</v>
      </c>
      <c r="B21" s="27" t="s">
        <v>102</v>
      </c>
      <c r="C21" s="27" t="s">
        <v>79</v>
      </c>
      <c r="D21" s="27" t="s">
        <v>80</v>
      </c>
      <c r="E21" s="27" t="s">
        <v>81</v>
      </c>
      <c r="F21" s="27" t="s">
        <v>82</v>
      </c>
      <c r="G21" s="27" t="s">
        <v>132</v>
      </c>
      <c r="H21" s="27" t="s">
        <v>83</v>
      </c>
      <c r="I21" s="27" t="s">
        <v>84</v>
      </c>
      <c r="J21" s="27" t="s">
        <v>85</v>
      </c>
      <c r="K21" s="27" t="s">
        <v>86</v>
      </c>
      <c r="L21" s="27" t="s">
        <v>87</v>
      </c>
      <c r="M21" s="27" t="s">
        <v>131</v>
      </c>
      <c r="N21" s="27" t="s">
        <v>88</v>
      </c>
      <c r="O21" s="27" t="s">
        <v>89</v>
      </c>
    </row>
    <row r="22" spans="1:15" x14ac:dyDescent="0.25">
      <c r="A22" s="28" t="s">
        <v>90</v>
      </c>
      <c r="B22" s="36">
        <f t="shared" ref="B22:B34" si="2">SUM(C22:O22)</f>
        <v>51.187599999999996</v>
      </c>
      <c r="C22" s="36">
        <f>15.6379-0.7119-0.0063-0.0008-0.1855</f>
        <v>14.733400000000001</v>
      </c>
      <c r="D22" s="36">
        <f>5.8965-0.0982-0.1064</f>
        <v>5.6918999999999995</v>
      </c>
      <c r="E22" s="36">
        <f>1.6446-0.0747</f>
        <v>1.5699000000000001</v>
      </c>
      <c r="F22" s="36">
        <v>1.1691</v>
      </c>
      <c r="G22" s="36">
        <v>0</v>
      </c>
      <c r="H22" s="36">
        <v>0.28210000000000002</v>
      </c>
      <c r="I22" s="36">
        <v>0.114</v>
      </c>
      <c r="J22" s="36">
        <v>0.96020000000000005</v>
      </c>
      <c r="K22" s="36">
        <f>17.8095+0.0033+0.019+0.023+0.1064+0.0008+0.207</f>
        <v>18.169</v>
      </c>
      <c r="L22" s="36">
        <f>4.0451-0.0183-0.0786+0.2602</f>
        <v>4.2084000000000001</v>
      </c>
      <c r="M22" s="36">
        <v>1.7242</v>
      </c>
      <c r="N22" s="36">
        <f>1.5663</f>
        <v>1.5663</v>
      </c>
      <c r="O22" s="36">
        <v>0.99909999999999999</v>
      </c>
    </row>
    <row r="23" spans="1:15" x14ac:dyDescent="0.25">
      <c r="A23" s="28" t="s">
        <v>91</v>
      </c>
      <c r="B23" s="36">
        <f t="shared" si="2"/>
        <v>1.7842000000000002</v>
      </c>
      <c r="C23" s="36">
        <v>0</v>
      </c>
      <c r="D23" s="36">
        <v>0</v>
      </c>
      <c r="E23" s="36">
        <v>7.4700000000000003E-2</v>
      </c>
      <c r="F23" s="36">
        <v>0.84650000000000003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0.13039999999999999</v>
      </c>
      <c r="M23" s="36">
        <v>1.95E-2</v>
      </c>
      <c r="N23" s="36">
        <v>0</v>
      </c>
      <c r="O23" s="36">
        <v>0.71309999999999996</v>
      </c>
    </row>
    <row r="24" spans="1:15" x14ac:dyDescent="0.25">
      <c r="A24" s="28" t="s">
        <v>92</v>
      </c>
      <c r="B24" s="36">
        <f t="shared" si="2"/>
        <v>0.70500000000000007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0.153</v>
      </c>
      <c r="M24" s="36">
        <v>0.55200000000000005</v>
      </c>
      <c r="N24" s="36">
        <v>0</v>
      </c>
      <c r="O24" s="36">
        <v>0</v>
      </c>
    </row>
    <row r="25" spans="1:15" x14ac:dyDescent="0.25">
      <c r="A25" s="28" t="s">
        <v>93</v>
      </c>
      <c r="B25" s="36">
        <f t="shared" si="2"/>
        <v>0.74860000000000015</v>
      </c>
      <c r="C25" s="36">
        <f>0.0374-0.0173</f>
        <v>2.0100000000000003E-2</v>
      </c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2.47E-2</v>
      </c>
      <c r="L25" s="36">
        <v>0.62770000000000004</v>
      </c>
      <c r="M25" s="36">
        <f>0.0786-0.0025</f>
        <v>7.6100000000000001E-2</v>
      </c>
      <c r="N25" s="36">
        <v>0</v>
      </c>
      <c r="O25" s="36">
        <v>0</v>
      </c>
    </row>
    <row r="26" spans="1:15" x14ac:dyDescent="0.25">
      <c r="A26" s="28" t="s">
        <v>94</v>
      </c>
      <c r="B26" s="36">
        <f t="shared" si="2"/>
        <v>7.2267000000000001</v>
      </c>
      <c r="C26" s="36">
        <v>7.2267000000000001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</row>
    <row r="27" spans="1:15" x14ac:dyDescent="0.25">
      <c r="A27" s="28" t="s">
        <v>95</v>
      </c>
      <c r="B27" s="36">
        <f t="shared" si="2"/>
        <v>0.85509999999999997</v>
      </c>
      <c r="C27" s="36"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0.85509999999999997</v>
      </c>
      <c r="M27" s="36">
        <v>0</v>
      </c>
      <c r="N27" s="36">
        <v>0</v>
      </c>
      <c r="O27" s="36">
        <v>0</v>
      </c>
    </row>
    <row r="28" spans="1:15" x14ac:dyDescent="0.25">
      <c r="A28" s="28" t="s">
        <v>96</v>
      </c>
      <c r="B28" s="36">
        <f t="shared" si="2"/>
        <v>0</v>
      </c>
      <c r="C28" s="36">
        <v>0</v>
      </c>
      <c r="D28" s="36"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  <c r="N28" s="36">
        <v>0</v>
      </c>
      <c r="O28" s="36">
        <v>0</v>
      </c>
    </row>
    <row r="29" spans="1:15" x14ac:dyDescent="0.25">
      <c r="A29" s="28" t="s">
        <v>97</v>
      </c>
      <c r="B29" s="36">
        <f t="shared" si="2"/>
        <v>6.6699999999999995E-2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6.6699999999999995E-2</v>
      </c>
      <c r="M29" s="36">
        <v>0</v>
      </c>
      <c r="N29" s="36">
        <v>0</v>
      </c>
      <c r="O29" s="36">
        <v>0</v>
      </c>
    </row>
    <row r="30" spans="1:15" x14ac:dyDescent="0.25">
      <c r="A30" s="28" t="s">
        <v>157</v>
      </c>
      <c r="B30" s="36">
        <f t="shared" si="2"/>
        <v>0.5111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9.0399999999999994E-2</v>
      </c>
      <c r="L30" s="36">
        <v>7.1300000000000002E-2</v>
      </c>
      <c r="M30" s="36">
        <v>0.34939999999999999</v>
      </c>
      <c r="N30" s="36">
        <v>0</v>
      </c>
      <c r="O30" s="36">
        <v>0</v>
      </c>
    </row>
    <row r="31" spans="1:15" x14ac:dyDescent="0.25">
      <c r="A31" s="28" t="s">
        <v>98</v>
      </c>
      <c r="B31" s="36">
        <f t="shared" si="2"/>
        <v>1.8484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3.85E-2</v>
      </c>
      <c r="M31" s="36">
        <v>0</v>
      </c>
      <c r="N31" s="36">
        <v>1.8099000000000001</v>
      </c>
      <c r="O31" s="36">
        <v>0</v>
      </c>
    </row>
    <row r="32" spans="1:15" x14ac:dyDescent="0.25">
      <c r="A32" s="28" t="s">
        <v>107</v>
      </c>
      <c r="B32" s="36">
        <f t="shared" si="2"/>
        <v>1.0558000000000001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1.0558000000000001</v>
      </c>
      <c r="M32" s="36">
        <v>0</v>
      </c>
      <c r="N32" s="36">
        <v>0</v>
      </c>
      <c r="O32" s="36">
        <v>0</v>
      </c>
    </row>
    <row r="33" spans="1:15" x14ac:dyDescent="0.25">
      <c r="A33" s="28" t="s">
        <v>99</v>
      </c>
      <c r="B33" s="36">
        <f t="shared" si="2"/>
        <v>2.87E-2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2.87E-2</v>
      </c>
      <c r="M33" s="36">
        <v>0</v>
      </c>
      <c r="N33" s="36">
        <v>0</v>
      </c>
      <c r="O33" s="36">
        <v>0</v>
      </c>
    </row>
    <row r="34" spans="1:15" x14ac:dyDescent="0.25">
      <c r="A34" s="28" t="s">
        <v>100</v>
      </c>
      <c r="B34" s="36">
        <f t="shared" si="2"/>
        <v>0.31219999999999998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0.31219999999999998</v>
      </c>
      <c r="M34" s="36">
        <v>0</v>
      </c>
      <c r="N34" s="36">
        <v>0</v>
      </c>
      <c r="O34" s="36">
        <v>0</v>
      </c>
    </row>
    <row r="35" spans="1:15" s="15" customFormat="1" ht="10.5" x14ac:dyDescent="0.25">
      <c r="A35" s="29" t="s">
        <v>103</v>
      </c>
      <c r="B35" s="37">
        <f>SUM(B22:B34)</f>
        <v>66.330100000000002</v>
      </c>
      <c r="C35" s="37">
        <f t="shared" ref="C35:O35" si="3">SUM(C22:C34)</f>
        <v>21.9802</v>
      </c>
      <c r="D35" s="37">
        <f t="shared" si="3"/>
        <v>5.6918999999999995</v>
      </c>
      <c r="E35" s="37">
        <f t="shared" si="3"/>
        <v>1.6446000000000001</v>
      </c>
      <c r="F35" s="37">
        <f t="shared" si="3"/>
        <v>2.0156000000000001</v>
      </c>
      <c r="G35" s="37">
        <f t="shared" si="3"/>
        <v>0</v>
      </c>
      <c r="H35" s="37">
        <f t="shared" si="3"/>
        <v>0.28210000000000002</v>
      </c>
      <c r="I35" s="37">
        <f t="shared" si="3"/>
        <v>0.114</v>
      </c>
      <c r="J35" s="37">
        <f t="shared" si="3"/>
        <v>0.96020000000000005</v>
      </c>
      <c r="K35" s="37">
        <f t="shared" si="3"/>
        <v>18.284099999999999</v>
      </c>
      <c r="L35" s="37">
        <f t="shared" si="3"/>
        <v>7.5477999999999987</v>
      </c>
      <c r="M35" s="37">
        <f t="shared" si="3"/>
        <v>2.7212000000000001</v>
      </c>
      <c r="N35" s="37">
        <f t="shared" si="3"/>
        <v>3.3761999999999999</v>
      </c>
      <c r="O35" s="37">
        <f t="shared" si="3"/>
        <v>1.7121999999999999</v>
      </c>
    </row>
    <row r="36" spans="1:15" x14ac:dyDescent="0.25">
      <c r="K36" s="17"/>
    </row>
    <row r="38" spans="1:15" ht="33.75" x14ac:dyDescent="0.25">
      <c r="A38" s="9" t="s">
        <v>135</v>
      </c>
      <c r="B38" s="10" t="s">
        <v>102</v>
      </c>
      <c r="C38" s="10" t="s">
        <v>79</v>
      </c>
      <c r="D38" s="10" t="s">
        <v>80</v>
      </c>
      <c r="E38" s="10" t="s">
        <v>81</v>
      </c>
      <c r="F38" s="10" t="s">
        <v>82</v>
      </c>
      <c r="G38" s="10" t="s">
        <v>132</v>
      </c>
      <c r="H38" s="10" t="s">
        <v>83</v>
      </c>
      <c r="I38" s="10" t="s">
        <v>84</v>
      </c>
      <c r="J38" s="10" t="s">
        <v>85</v>
      </c>
      <c r="K38" s="10" t="s">
        <v>86</v>
      </c>
      <c r="L38" s="10" t="s">
        <v>87</v>
      </c>
      <c r="M38" s="10" t="s">
        <v>131</v>
      </c>
      <c r="N38" s="10" t="s">
        <v>88</v>
      </c>
      <c r="O38" s="10" t="s">
        <v>89</v>
      </c>
    </row>
    <row r="39" spans="1:15" x14ac:dyDescent="0.25">
      <c r="A39" s="19" t="s">
        <v>133</v>
      </c>
      <c r="B39" s="12">
        <f>B19</f>
        <v>154.9006</v>
      </c>
      <c r="C39" s="12">
        <f t="shared" ref="C39:O39" si="4">C19</f>
        <v>13.263</v>
      </c>
      <c r="D39" s="12">
        <f t="shared" si="4"/>
        <v>0.72309999999999985</v>
      </c>
      <c r="E39" s="12">
        <f t="shared" si="4"/>
        <v>6.4998000000000005</v>
      </c>
      <c r="F39" s="12">
        <f t="shared" si="4"/>
        <v>1.5286000000000002</v>
      </c>
      <c r="G39" s="12">
        <f t="shared" si="4"/>
        <v>5.9795000000000007</v>
      </c>
      <c r="H39" s="12">
        <f t="shared" si="4"/>
        <v>1.1400000000000001</v>
      </c>
      <c r="I39" s="12">
        <f t="shared" si="4"/>
        <v>0.22870000000000001</v>
      </c>
      <c r="J39" s="12">
        <f t="shared" si="4"/>
        <v>2.52</v>
      </c>
      <c r="K39" s="12">
        <f t="shared" si="4"/>
        <v>106.91690000000001</v>
      </c>
      <c r="L39" s="12">
        <f t="shared" si="4"/>
        <v>4.5582999999999991</v>
      </c>
      <c r="M39" s="12">
        <f t="shared" si="4"/>
        <v>2.4742999999999999</v>
      </c>
      <c r="N39" s="12">
        <f t="shared" si="4"/>
        <v>7.5836000000000006</v>
      </c>
      <c r="O39" s="12">
        <f t="shared" si="4"/>
        <v>1.4847999999999999</v>
      </c>
    </row>
    <row r="40" spans="1:15" x14ac:dyDescent="0.25">
      <c r="A40" s="19" t="s">
        <v>134</v>
      </c>
      <c r="B40" s="12">
        <f>B35</f>
        <v>66.330100000000002</v>
      </c>
      <c r="C40" s="12">
        <f>C35</f>
        <v>21.9802</v>
      </c>
      <c r="D40" s="12">
        <f t="shared" ref="D40:O40" si="5">D35</f>
        <v>5.6918999999999995</v>
      </c>
      <c r="E40" s="12">
        <f t="shared" si="5"/>
        <v>1.6446000000000001</v>
      </c>
      <c r="F40" s="12">
        <f t="shared" si="5"/>
        <v>2.0156000000000001</v>
      </c>
      <c r="G40" s="12">
        <f t="shared" si="5"/>
        <v>0</v>
      </c>
      <c r="H40" s="12">
        <f t="shared" si="5"/>
        <v>0.28210000000000002</v>
      </c>
      <c r="I40" s="12">
        <f t="shared" si="5"/>
        <v>0.114</v>
      </c>
      <c r="J40" s="12">
        <f t="shared" si="5"/>
        <v>0.96020000000000005</v>
      </c>
      <c r="K40" s="12">
        <f t="shared" si="5"/>
        <v>18.284099999999999</v>
      </c>
      <c r="L40" s="12">
        <f t="shared" si="5"/>
        <v>7.5477999999999987</v>
      </c>
      <c r="M40" s="12">
        <f t="shared" si="5"/>
        <v>2.7212000000000001</v>
      </c>
      <c r="N40" s="12">
        <f t="shared" si="5"/>
        <v>3.3761999999999999</v>
      </c>
      <c r="O40" s="12">
        <f t="shared" si="5"/>
        <v>1.7121999999999999</v>
      </c>
    </row>
    <row r="41" spans="1:15" x14ac:dyDescent="0.25">
      <c r="A41" s="13" t="s">
        <v>136</v>
      </c>
      <c r="B41" s="14">
        <f>B39+B40</f>
        <v>221.23070000000001</v>
      </c>
      <c r="C41" s="14">
        <f>C39+C40</f>
        <v>35.243200000000002</v>
      </c>
      <c r="D41" s="14">
        <f t="shared" ref="D41:O41" si="6">D39+D40</f>
        <v>6.4149999999999991</v>
      </c>
      <c r="E41" s="14">
        <f t="shared" si="6"/>
        <v>8.144400000000001</v>
      </c>
      <c r="F41" s="14">
        <f t="shared" si="6"/>
        <v>3.5442</v>
      </c>
      <c r="G41" s="14">
        <f t="shared" si="6"/>
        <v>5.9795000000000007</v>
      </c>
      <c r="H41" s="14">
        <f t="shared" si="6"/>
        <v>1.4221000000000001</v>
      </c>
      <c r="I41" s="14">
        <f t="shared" si="6"/>
        <v>0.3427</v>
      </c>
      <c r="J41" s="14">
        <f t="shared" si="6"/>
        <v>3.4802</v>
      </c>
      <c r="K41" s="14">
        <f t="shared" si="6"/>
        <v>125.20100000000001</v>
      </c>
      <c r="L41" s="14">
        <f t="shared" si="6"/>
        <v>12.106099999999998</v>
      </c>
      <c r="M41" s="14">
        <f t="shared" si="6"/>
        <v>5.1955</v>
      </c>
      <c r="N41" s="14">
        <f t="shared" si="6"/>
        <v>10.959800000000001</v>
      </c>
      <c r="O41" s="14">
        <f t="shared" si="6"/>
        <v>3.1970000000000001</v>
      </c>
    </row>
  </sheetData>
  <mergeCells count="3">
    <mergeCell ref="A2:O2"/>
    <mergeCell ref="A3:O3"/>
    <mergeCell ref="N1:O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stan mienia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Michałowska</dc:creator>
  <cp:lastModifiedBy>UMIG-SKARBNIK</cp:lastModifiedBy>
  <cp:lastPrinted>2024-03-27T14:49:45Z</cp:lastPrinted>
  <dcterms:created xsi:type="dcterms:W3CDTF">2018-03-27T10:29:08Z</dcterms:created>
  <dcterms:modified xsi:type="dcterms:W3CDTF">2024-03-27T14:50:01Z</dcterms:modified>
</cp:coreProperties>
</file>