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RADA\Desktop\Zarządzenia 2024\Zarządzenie nr 0050.565.2024\"/>
    </mc:Choice>
  </mc:AlternateContent>
  <bookViews>
    <workbookView xWindow="0" yWindow="0" windowWidth="28800" windowHeight="11835" tabRatio="605"/>
  </bookViews>
  <sheets>
    <sheet name="FS 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8" i="1" l="1"/>
  <c r="H108" i="1"/>
  <c r="H21" i="1"/>
  <c r="H34" i="1"/>
  <c r="H19" i="1"/>
  <c r="F148" i="1" l="1"/>
  <c r="G148" i="1"/>
  <c r="H147" i="1"/>
  <c r="H132" i="1"/>
  <c r="H121" i="1"/>
  <c r="H111" i="1"/>
  <c r="H102" i="1"/>
  <c r="H99" i="1"/>
  <c r="H89" i="1"/>
  <c r="H77" i="1"/>
  <c r="H64" i="1"/>
  <c r="H56" i="1"/>
  <c r="H48" i="1"/>
  <c r="H36" i="1"/>
  <c r="H18" i="1"/>
  <c r="I10" i="1"/>
  <c r="I11" i="1"/>
  <c r="I13" i="1"/>
  <c r="I15" i="1"/>
  <c r="I16" i="1"/>
  <c r="I17" i="1"/>
  <c r="I21" i="1"/>
  <c r="I22" i="1"/>
  <c r="I24" i="1"/>
  <c r="I27" i="1"/>
  <c r="I28" i="1"/>
  <c r="I31" i="1"/>
  <c r="I32" i="1"/>
  <c r="I33" i="1"/>
  <c r="I35" i="1"/>
  <c r="I39" i="1"/>
  <c r="I40" i="1"/>
  <c r="I43" i="1"/>
  <c r="I44" i="1"/>
  <c r="I45" i="1"/>
  <c r="I49" i="1"/>
  <c r="I50" i="1"/>
  <c r="I51" i="1"/>
  <c r="I52" i="1"/>
  <c r="I53" i="1"/>
  <c r="I54" i="1"/>
  <c r="I58" i="1"/>
  <c r="I59" i="1"/>
  <c r="I60" i="1"/>
  <c r="I63" i="1"/>
  <c r="I65" i="1"/>
  <c r="I67" i="1"/>
  <c r="I70" i="1"/>
  <c r="I72" i="1"/>
  <c r="I74" i="1"/>
  <c r="I76" i="1"/>
  <c r="I78" i="1"/>
  <c r="I79" i="1"/>
  <c r="I80" i="1"/>
  <c r="I82" i="1"/>
  <c r="I83" i="1"/>
  <c r="I85" i="1"/>
  <c r="I87" i="1"/>
  <c r="I88" i="1"/>
  <c r="I91" i="1"/>
  <c r="I92" i="1"/>
  <c r="I94" i="1"/>
  <c r="I95" i="1"/>
  <c r="I96" i="1"/>
  <c r="I97" i="1"/>
  <c r="I98" i="1"/>
  <c r="I100" i="1"/>
  <c r="I101" i="1"/>
  <c r="I104" i="1"/>
  <c r="I107" i="1"/>
  <c r="I109" i="1"/>
  <c r="I110" i="1"/>
  <c r="I113" i="1"/>
  <c r="I114" i="1"/>
  <c r="I115" i="1"/>
  <c r="I117" i="1"/>
  <c r="I119" i="1"/>
  <c r="I120" i="1"/>
  <c r="I123" i="1"/>
  <c r="I127" i="1"/>
  <c r="I131" i="1"/>
  <c r="I133" i="1"/>
  <c r="I134" i="1"/>
  <c r="I136" i="1"/>
  <c r="I137" i="1"/>
  <c r="I138" i="1"/>
  <c r="I139" i="1"/>
  <c r="I141" i="1"/>
  <c r="I143" i="1"/>
  <c r="I144" i="1"/>
  <c r="I145" i="1"/>
  <c r="I146" i="1"/>
  <c r="I122" i="1"/>
  <c r="I126" i="1"/>
  <c r="E69" i="1"/>
  <c r="I69" i="1" s="1"/>
  <c r="E68" i="1"/>
  <c r="I68" i="1" s="1"/>
  <c r="H148" i="1" l="1"/>
  <c r="I102" i="1"/>
  <c r="E8" i="1"/>
  <c r="I8" i="1" s="1"/>
  <c r="E14" i="1"/>
  <c r="I14" i="1" s="1"/>
  <c r="E61" i="1" l="1"/>
  <c r="I61" i="1" s="1"/>
  <c r="E62" i="1"/>
  <c r="I62" i="1" s="1"/>
  <c r="E71" i="1"/>
  <c r="I71" i="1" s="1"/>
  <c r="E34" i="1"/>
  <c r="I34" i="1" s="1"/>
  <c r="E26" i="1"/>
  <c r="I26" i="1" s="1"/>
  <c r="E20" i="1"/>
  <c r="I20" i="1" s="1"/>
  <c r="E9" i="1" l="1"/>
  <c r="I9" i="1" s="1"/>
  <c r="E129" i="1" l="1"/>
  <c r="I129" i="1" s="1"/>
  <c r="E124" i="1"/>
  <c r="I124" i="1" s="1"/>
  <c r="E142" i="1" l="1"/>
  <c r="I142" i="1" s="1"/>
  <c r="E135" i="1"/>
  <c r="I135" i="1" s="1"/>
  <c r="E140" i="1"/>
  <c r="I140" i="1" s="1"/>
  <c r="I147" i="1" l="1"/>
  <c r="E125" i="1"/>
  <c r="I125" i="1" s="1"/>
  <c r="E116" i="1"/>
  <c r="I116" i="1" s="1"/>
  <c r="E103" i="1"/>
  <c r="I103" i="1" s="1"/>
  <c r="E73" i="1"/>
  <c r="I73" i="1" s="1"/>
  <c r="E66" i="1"/>
  <c r="I66" i="1" s="1"/>
  <c r="E90" i="1"/>
  <c r="I90" i="1" s="1"/>
  <c r="E57" i="1"/>
  <c r="I57" i="1" s="1"/>
  <c r="I64" i="1" s="1"/>
  <c r="E38" i="1"/>
  <c r="I38" i="1" s="1"/>
  <c r="E47" i="1"/>
  <c r="I47" i="1" s="1"/>
  <c r="E41" i="1"/>
  <c r="I41" i="1" s="1"/>
  <c r="E37" i="1"/>
  <c r="I37" i="1" s="1"/>
  <c r="E25" i="1" l="1"/>
  <c r="I25" i="1" s="1"/>
  <c r="E29" i="1"/>
  <c r="I29" i="1" s="1"/>
  <c r="E30" i="1"/>
  <c r="I30" i="1" s="1"/>
  <c r="E108" i="1" l="1"/>
  <c r="I108" i="1" s="1"/>
  <c r="E105" i="1"/>
  <c r="I105" i="1" s="1"/>
  <c r="E84" i="1" l="1"/>
  <c r="I84" i="1" s="1"/>
  <c r="E46" i="1"/>
  <c r="I46" i="1" s="1"/>
  <c r="E19" i="1"/>
  <c r="I19" i="1" s="1"/>
  <c r="E118" i="1" l="1"/>
  <c r="I118" i="1" s="1"/>
  <c r="E112" i="1"/>
  <c r="I112" i="1" s="1"/>
  <c r="I121" i="1" s="1"/>
  <c r="E121" i="1" l="1"/>
  <c r="E128" i="1"/>
  <c r="I128" i="1" s="1"/>
  <c r="E130" i="1" l="1"/>
  <c r="I130" i="1" s="1"/>
  <c r="I132" i="1" s="1"/>
  <c r="E106" i="1"/>
  <c r="I106" i="1" s="1"/>
  <c r="I111" i="1" s="1"/>
  <c r="E81" i="1"/>
  <c r="I81" i="1" s="1"/>
  <c r="E147" i="1" l="1"/>
  <c r="E93" i="1"/>
  <c r="I93" i="1" s="1"/>
  <c r="I99" i="1" s="1"/>
  <c r="E75" i="1"/>
  <c r="I75" i="1" s="1"/>
  <c r="I77" i="1" s="1"/>
  <c r="E42" i="1"/>
  <c r="I42" i="1" s="1"/>
  <c r="I48" i="1" s="1"/>
  <c r="E23" i="1"/>
  <c r="E12" i="1"/>
  <c r="I12" i="1" s="1"/>
  <c r="E36" i="1" l="1"/>
  <c r="I36" i="1" s="1"/>
  <c r="I23" i="1"/>
  <c r="E132" i="1"/>
  <c r="E86" i="1" l="1"/>
  <c r="I86" i="1" s="1"/>
  <c r="I89" i="1" s="1"/>
  <c r="E55" i="1" l="1"/>
  <c r="E56" i="1" l="1"/>
  <c r="I55" i="1"/>
  <c r="I56" i="1" s="1"/>
  <c r="E89" i="1" l="1"/>
  <c r="E99" i="1"/>
  <c r="E18" i="1"/>
  <c r="I18" i="1" s="1"/>
  <c r="E77" i="1"/>
  <c r="E64" i="1"/>
  <c r="E102" i="1"/>
  <c r="E111" i="1"/>
  <c r="E48" i="1"/>
  <c r="I148" i="1" l="1"/>
</calcChain>
</file>

<file path=xl/sharedStrings.xml><?xml version="1.0" encoding="utf-8"?>
<sst xmlns="http://schemas.openxmlformats.org/spreadsheetml/2006/main" count="294" uniqueCount="143">
  <si>
    <t>Lp.</t>
  </si>
  <si>
    <t>Nazwa sołectwa</t>
  </si>
  <si>
    <t>Środki funduszu</t>
  </si>
  <si>
    <t>Przedsięwzięcia</t>
  </si>
  <si>
    <t>Bąków</t>
  </si>
  <si>
    <t xml:space="preserve">Ogółem </t>
  </si>
  <si>
    <t>Bukowina Sycowska</t>
  </si>
  <si>
    <t>Ogółem</t>
  </si>
  <si>
    <t>Dziesławice</t>
  </si>
  <si>
    <t>Kamień</t>
  </si>
  <si>
    <t>Królewska Wola</t>
  </si>
  <si>
    <t>Klonów</t>
  </si>
  <si>
    <t>Kraszów</t>
  </si>
  <si>
    <t>Niwki Kraszowskie</t>
  </si>
  <si>
    <t>Ogółem:</t>
  </si>
  <si>
    <t>Niwki Książęce</t>
  </si>
  <si>
    <t>Ose</t>
  </si>
  <si>
    <t>przypadające na</t>
  </si>
  <si>
    <t>dane sołectwo</t>
  </si>
  <si>
    <t>przewidziane do realizacji</t>
  </si>
  <si>
    <t>wg wniosku sołectwa</t>
  </si>
  <si>
    <t>Suma środków przypadająca na wszystkie sołectwa w gminie</t>
  </si>
  <si>
    <t>Hałdrychowice</t>
  </si>
  <si>
    <t>Promocja wsi - środki żywnościowe</t>
  </si>
  <si>
    <t>Zakup węgla</t>
  </si>
  <si>
    <t>Ligota Rybińska</t>
  </si>
  <si>
    <t>Wydatki w ramach funduszu</t>
  </si>
  <si>
    <t>Zakup paliwa do kosiarki</t>
  </si>
  <si>
    <t>Zabudowa i konserwacja altanki oraz terenu na placu wiejskim</t>
  </si>
  <si>
    <t>Utrzymanie terenu zielonego na placu rekreacyjnym na działce nr 85/9 - umowa zlecenie</t>
  </si>
  <si>
    <t>Zakup opału do ogrzewania świetlicy wiejskiej</t>
  </si>
  <si>
    <t>Opał do świetlicy</t>
  </si>
  <si>
    <t>Zakup energii i wywóz nieczystości</t>
  </si>
  <si>
    <t>Zakup węgla na świetlicę</t>
  </si>
  <si>
    <t>Promocja sołectwa</t>
  </si>
  <si>
    <t>Zakup wyposażenia na świetlicę</t>
  </si>
  <si>
    <t>Paliwo i serwis urządzeń do koszenia</t>
  </si>
  <si>
    <t>Energia i wywóz nieczystości</t>
  </si>
  <si>
    <t>Montaż lampy solarnej</t>
  </si>
  <si>
    <t>Zakup lampy ulicznej</t>
  </si>
  <si>
    <t>Lampa solarna - inwestycja</t>
  </si>
  <si>
    <t>Prąd</t>
  </si>
  <si>
    <t>Wywóz nieczystości</t>
  </si>
  <si>
    <t>Naprawy i remonty w świetlicy</t>
  </si>
  <si>
    <t>Oprysk + nawóz do drzewek</t>
  </si>
  <si>
    <t>Remont kosiarki</t>
  </si>
  <si>
    <t>Promocja sołectwa i kultury regionalnej (zakup materiałów)</t>
  </si>
  <si>
    <t>Promocja sołectwa i kultury regionalnej (zakup żywności)</t>
  </si>
  <si>
    <t>60016</t>
  </si>
  <si>
    <t>90004</t>
  </si>
  <si>
    <t>92109</t>
  </si>
  <si>
    <t>90095</t>
  </si>
  <si>
    <t>Promocja sołectwa i kultury regionalnej (wynajem urządzeń - catering, dmuchańce)</t>
  </si>
  <si>
    <t>Promocja wsi oraz wspieranie regionalnej twórczości wiejskiej poprzez przekazywanie wiedzy młodszym pokoleniom (zakup środków żywności)</t>
  </si>
  <si>
    <t>Promocja wsi oraz wspieranie regionalnej twórczości wiejskiej poprzez przekazywanie wiedzy młodszym pokoleniom (zakup materiałów i wyposażenia)</t>
  </si>
  <si>
    <t>Promocja wsi oraz wspieranie regionalnej twórczości wiejskiej poprzez przekazywanie wiedzy młodszym pokoleniom (zakup usług pozostałych)</t>
  </si>
  <si>
    <t>Promocja wsi oraz wspieranie regionalnej twórczości wiejskiej poprzez przekazywanie wiedzy młodszym pokoleniom (nagrody konkursowe)</t>
  </si>
  <si>
    <t>90015</t>
  </si>
  <si>
    <t>Aktywizacja społeczności lokalnej i promocja sołectwa (wynajem urządzeń rekreacyjnych - zamki dmuchane, trampoliny)</t>
  </si>
  <si>
    <t>Aktywizacja społeczności lokalnej i promocja sołectwa (zakup żywności)</t>
  </si>
  <si>
    <t>Inwestycje drogowo chodnikowe</t>
  </si>
  <si>
    <t>Koszenie terenu wokół sali - umowa zlecenie</t>
  </si>
  <si>
    <t>Kultywowanie i promocja tradycji wiejskich (zakup materiałów i wyposażenia)</t>
  </si>
  <si>
    <t>Kultywowanie i promocja tradycji wiejskich (zakup żywności)</t>
  </si>
  <si>
    <t>Kultywowanie i promocja tradycji wiejskich (zakup usług pozostałych)</t>
  </si>
  <si>
    <t>Utrzymanie porządku na placu wiejskim</t>
  </si>
  <si>
    <t>Zakup kostki oraz materiałów</t>
  </si>
  <si>
    <t>Zakup paliwa, oleju i żyłki do kosiarki</t>
  </si>
  <si>
    <t>Zakup materiałów eksploatacyjnych do utrzymania czystości placu rekreacyjnego na działce nr 85/9 oraz placu przy sali wiejskiej i zakup narzędzi</t>
  </si>
  <si>
    <t>Dofinansowanie Dnia Dziecka</t>
  </si>
  <si>
    <t>Wiata na plac przy sali wiejskiej</t>
  </si>
  <si>
    <t>Lampa solarna na plac wiejski (czujnik ruchu i zmierzchu)</t>
  </si>
  <si>
    <t>Dofinansowanie Koła Gospodyń Wiejskich</t>
  </si>
  <si>
    <t>Dofinansowanie organizacji imprez gminnych (dożynki)</t>
  </si>
  <si>
    <t>Wykonanie płotu przy sali wiejskiej (z tyłu sali wiejskiej)</t>
  </si>
  <si>
    <t>Automat do bramy komplet</t>
  </si>
  <si>
    <t>Lampa solarna z dofinansowaniem z budżetu gminy, przy bloku nr 10</t>
  </si>
  <si>
    <t>Paliwo, olej, przegląd części do traktorka do koszenia i kosy spalinowej</t>
  </si>
  <si>
    <t xml:space="preserve">Usługa koszenia trawy </t>
  </si>
  <si>
    <t>Promocja sołectwa (Dożynki, Dzień Dziecka i Mikołajki)</t>
  </si>
  <si>
    <t>Podbitka pod zadaszenie altanki wiejskiej</t>
  </si>
  <si>
    <t>Ogrodzenie koło krzyża wiejskiego</t>
  </si>
  <si>
    <t>Krawężniki + cement</t>
  </si>
  <si>
    <t>Wykonanie (zebranie ziemi + położenie kostki)</t>
  </si>
  <si>
    <t>Promocja oraz integracja wsi (zakup żywności)</t>
  </si>
  <si>
    <t>Zakup lamp</t>
  </si>
  <si>
    <t>Zakup paliwa do kosiarki z napędem</t>
  </si>
  <si>
    <t>Opłata energii na świetlicę</t>
  </si>
  <si>
    <t>Doposażenie placu zabaw</t>
  </si>
  <si>
    <t>Spotkania integracyjne (nagrody, zakup żywności, zamek dmuchany)</t>
  </si>
  <si>
    <t>Doposażenie sali wiejskiej</t>
  </si>
  <si>
    <t>Zakup okapu kuchennego</t>
  </si>
  <si>
    <t>Zakup lampy solarnej</t>
  </si>
  <si>
    <t>Zakup energii i opału do świetlicy oraz wywóz nieczystości</t>
  </si>
  <si>
    <t>Zakup sprzętu sportowego</t>
  </si>
  <si>
    <t>Koszenie trawy (umowa zlecenie)</t>
  </si>
  <si>
    <t>Konserwacja kosiarek, zakup paliwa</t>
  </si>
  <si>
    <t>Zakup sprzętu gospodarczego na potrzeby świetlicy oraz środki czystości</t>
  </si>
  <si>
    <t>Remont drogi gminnej</t>
  </si>
  <si>
    <t>Zakup paliwa i akcesoriów do kosiarek</t>
  </si>
  <si>
    <t>Zlecenie na usługę koszenia i sprzątania</t>
  </si>
  <si>
    <t>Ogrodzenie placu zabaw</t>
  </si>
  <si>
    <t>Zakup i montaż lampy hybrydowej solar+wiatrak</t>
  </si>
  <si>
    <t>Malowanie zewnętrznych ścian świetlicy</t>
  </si>
  <si>
    <t>Zakup opału na świetlicę</t>
  </si>
  <si>
    <t>Koszenie trawy na placu przy świetlicy wiejskiej</t>
  </si>
  <si>
    <t>Promocja i aktywizacja mieszkańców (środki żywnościowe)</t>
  </si>
  <si>
    <t>Promocja i aktywizacja mieszkańców (usługi pozostałe)</t>
  </si>
  <si>
    <t>Zakup opału na salę</t>
  </si>
  <si>
    <t xml:space="preserve">Zakup paliwa do kosiarki </t>
  </si>
  <si>
    <t>Spotkania aktywizujące lokalną społeczność</t>
  </si>
  <si>
    <t>Utrzymanie terenu zielonego - zakup narzędzi</t>
  </si>
  <si>
    <t>Zakup lamp (2 sztuki)</t>
  </si>
  <si>
    <t xml:space="preserve">Utrzymanie placu zabaw </t>
  </si>
  <si>
    <t>Zakup kosiarki</t>
  </si>
  <si>
    <t>Malowanie przystanku autobusowego</t>
  </si>
  <si>
    <t>Podłączenie prądu</t>
  </si>
  <si>
    <t>Zakup siatki do gry</t>
  </si>
  <si>
    <t>Koszenie trawy w sezonie (umowa zlecenie)</t>
  </si>
  <si>
    <t>Spotkania wiejskie, integracja (zakup środków żywności)</t>
  </si>
  <si>
    <t>92695</t>
  </si>
  <si>
    <t>92195</t>
  </si>
  <si>
    <t>Zakup opału,</t>
  </si>
  <si>
    <t>Zakup energii</t>
  </si>
  <si>
    <t>Zakup - wywóz nieczystości</t>
  </si>
  <si>
    <t>Promocja oraz integracja wsi (zakup materiałów)</t>
  </si>
  <si>
    <t>Wykonanie melioracji w okół świetlcy wiejskiej</t>
  </si>
  <si>
    <t>Zakup ziemi w celu wyrównania placu wiejskiego</t>
  </si>
  <si>
    <t>Spotkania wiejskie, integracja (zakup materiałów)</t>
  </si>
  <si>
    <t>Spotkania wiejskie, integracja (zakup usług pozostałych)</t>
  </si>
  <si>
    <t>Doposażenie sali wiejskiej-art..remontowe</t>
  </si>
  <si>
    <t>Promocja wsi, regionalnych produktów, palma, dożynki, Dzień Kobiet, Dzień Dziecka, Mikołajki, animacje</t>
  </si>
  <si>
    <t>Zakup tłucznia i utwardzenie drogi gminnej</t>
  </si>
  <si>
    <t>Promocja i aktywizacja mieszkańców (zakup materiałów)</t>
  </si>
  <si>
    <t>promocja wsi i wspieranie regionalnej twórczości wiejskiej , w tym: Dofinansowanie Dnia Seniora</t>
  </si>
  <si>
    <t>Zakup lampy na istniejącym słupie - Węgrowa</t>
  </si>
  <si>
    <t>Zakup namiotu składengo</t>
  </si>
  <si>
    <t>Zajup stołów biesiadnych (styły+ławki)</t>
  </si>
  <si>
    <t>Załącznik nr 6</t>
  </si>
  <si>
    <t>%</t>
  </si>
  <si>
    <t>Klasyfikacja budżetowa</t>
  </si>
  <si>
    <t>Sprawozdanie z wykonania wydatków w ramach funduszu sołeckiego na dzień 31 grudnia 2023 roku</t>
  </si>
  <si>
    <t>Wykonanie na dzień 31.12.2023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</si>
</sst>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6"/>
      <name val="Arial Narrow"/>
      <family val="2"/>
      <charset val="238"/>
    </font>
    <font>
      <b/>
      <sz val="6"/>
      <name val="Arial Narrow"/>
      <family val="2"/>
      <charset val="238"/>
    </font>
    <font>
      <sz val="6"/>
      <name val="Times New Roman"/>
      <family val="1"/>
      <charset val="238"/>
    </font>
    <font>
      <b/>
      <sz val="6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3" fillId="0" borderId="2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4" fontId="4" fillId="5" borderId="5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right" vertical="top"/>
    </xf>
    <xf numFmtId="0" fontId="3" fillId="4" borderId="0" xfId="0" applyFont="1" applyFill="1" applyAlignment="1">
      <alignment vertical="center"/>
    </xf>
    <xf numFmtId="0" fontId="3" fillId="4" borderId="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4" borderId="3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right" vertical="top"/>
    </xf>
    <xf numFmtId="0" fontId="3" fillId="4" borderId="1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4" fontId="3" fillId="4" borderId="7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/>
    </xf>
    <xf numFmtId="4" fontId="3" fillId="4" borderId="2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top" wrapText="1"/>
    </xf>
    <xf numFmtId="10" fontId="3" fillId="4" borderId="1" xfId="1" applyNumberFormat="1" applyFont="1" applyFill="1" applyBorder="1" applyAlignment="1">
      <alignment vertical="center"/>
    </xf>
    <xf numFmtId="10" fontId="3" fillId="6" borderId="1" xfId="1" applyNumberFormat="1" applyFont="1" applyFill="1" applyBorder="1" applyAlignment="1">
      <alignment vertical="center"/>
    </xf>
    <xf numFmtId="4" fontId="4" fillId="6" borderId="1" xfId="0" applyNumberFormat="1" applyFont="1" applyFill="1" applyBorder="1" applyAlignment="1">
      <alignment horizontal="right" vertical="top"/>
    </xf>
    <xf numFmtId="4" fontId="4" fillId="6" borderId="5" xfId="0" applyNumberFormat="1" applyFont="1" applyFill="1" applyBorder="1" applyAlignment="1">
      <alignment horizontal="right" vertical="center"/>
    </xf>
    <xf numFmtId="2" fontId="3" fillId="4" borderId="1" xfId="0" applyNumberFormat="1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right" vertical="center"/>
    </xf>
    <xf numFmtId="2" fontId="3" fillId="7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2" fontId="3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4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70"/>
  <sheetViews>
    <sheetView tabSelected="1" topLeftCell="A145" zoomScale="200" zoomScaleNormal="200" workbookViewId="0">
      <selection activeCell="I148" sqref="I148"/>
    </sheetView>
  </sheetViews>
  <sheetFormatPr defaultColWidth="9.140625" defaultRowHeight="12" x14ac:dyDescent="0.2"/>
  <cols>
    <col min="1" max="1" width="2.140625" style="8" bestFit="1" customWidth="1"/>
    <col min="2" max="2" width="8.5703125" style="51" bestFit="1" customWidth="1"/>
    <col min="3" max="3" width="8.42578125" style="5" bestFit="1" customWidth="1"/>
    <col min="4" max="4" width="36.7109375" style="1" customWidth="1"/>
    <col min="5" max="5" width="8.7109375" style="52" customWidth="1"/>
    <col min="6" max="6" width="3" style="8" bestFit="1" customWidth="1"/>
    <col min="7" max="7" width="3.5703125" style="53" bestFit="1" customWidth="1"/>
    <col min="8" max="8" width="7.42578125" style="1" customWidth="1"/>
    <col min="9" max="9" width="5.7109375" style="1" customWidth="1"/>
    <col min="10" max="16384" width="9.140625" style="1"/>
  </cols>
  <sheetData>
    <row r="1" spans="1:13" x14ac:dyDescent="0.2">
      <c r="A1" s="9"/>
      <c r="B1" s="10"/>
      <c r="C1" s="11"/>
      <c r="D1" s="10"/>
      <c r="E1" s="11"/>
      <c r="F1" s="107" t="s">
        <v>138</v>
      </c>
      <c r="G1" s="107"/>
      <c r="H1" s="107"/>
      <c r="I1" s="107"/>
    </row>
    <row r="2" spans="1:13" x14ac:dyDescent="0.2">
      <c r="A2" s="9"/>
      <c r="B2" s="10"/>
      <c r="C2" s="11"/>
      <c r="D2" s="10"/>
      <c r="E2" s="11"/>
      <c r="F2" s="11"/>
      <c r="G2" s="10"/>
    </row>
    <row r="3" spans="1:13" x14ac:dyDescent="0.2">
      <c r="A3" s="108" t="s">
        <v>141</v>
      </c>
      <c r="B3" s="108"/>
      <c r="C3" s="108"/>
      <c r="D3" s="108"/>
      <c r="E3" s="108"/>
      <c r="F3" s="108"/>
      <c r="G3" s="108"/>
      <c r="H3" s="108"/>
      <c r="I3" s="108"/>
    </row>
    <row r="4" spans="1:13" x14ac:dyDescent="0.2">
      <c r="A4" s="12"/>
      <c r="B4" s="12"/>
      <c r="C4" s="12"/>
      <c r="D4" s="12"/>
      <c r="E4" s="12"/>
      <c r="F4" s="12"/>
      <c r="G4" s="12"/>
      <c r="H4" s="12"/>
      <c r="I4" s="12"/>
    </row>
    <row r="5" spans="1:13" x14ac:dyDescent="0.2">
      <c r="A5" s="102" t="s">
        <v>0</v>
      </c>
      <c r="B5" s="103" t="s">
        <v>1</v>
      </c>
      <c r="C5" s="13" t="s">
        <v>2</v>
      </c>
      <c r="D5" s="14" t="s">
        <v>3</v>
      </c>
      <c r="E5" s="101" t="s">
        <v>26</v>
      </c>
      <c r="F5" s="110" t="s">
        <v>140</v>
      </c>
      <c r="G5" s="110"/>
      <c r="H5" s="111" t="s">
        <v>142</v>
      </c>
      <c r="I5" s="109" t="s">
        <v>139</v>
      </c>
    </row>
    <row r="6" spans="1:13" x14ac:dyDescent="0.2">
      <c r="A6" s="102"/>
      <c r="B6" s="103"/>
      <c r="C6" s="15" t="s">
        <v>17</v>
      </c>
      <c r="D6" s="16" t="s">
        <v>19</v>
      </c>
      <c r="E6" s="101"/>
      <c r="F6" s="110"/>
      <c r="G6" s="110"/>
      <c r="H6" s="111"/>
      <c r="I6" s="109"/>
    </row>
    <row r="7" spans="1:13" x14ac:dyDescent="0.2">
      <c r="A7" s="102"/>
      <c r="B7" s="103"/>
      <c r="C7" s="17" t="s">
        <v>18</v>
      </c>
      <c r="D7" s="18" t="s">
        <v>20</v>
      </c>
      <c r="E7" s="101"/>
      <c r="F7" s="110"/>
      <c r="G7" s="110"/>
      <c r="H7" s="111"/>
      <c r="I7" s="109"/>
    </row>
    <row r="8" spans="1:13" s="21" customFormat="1" x14ac:dyDescent="0.2">
      <c r="A8" s="81">
        <v>1</v>
      </c>
      <c r="B8" s="83" t="s">
        <v>4</v>
      </c>
      <c r="C8" s="85">
        <v>14806</v>
      </c>
      <c r="D8" s="19" t="s">
        <v>46</v>
      </c>
      <c r="E8" s="20">
        <f>800-680+2700-600</f>
        <v>2220</v>
      </c>
      <c r="F8" s="65">
        <v>4210</v>
      </c>
      <c r="G8" s="30" t="s">
        <v>50</v>
      </c>
      <c r="H8" s="70">
        <v>2218.8000000000002</v>
      </c>
      <c r="I8" s="66">
        <f>H8/E8</f>
        <v>0.99945945945945958</v>
      </c>
    </row>
    <row r="9" spans="1:13" s="21" customFormat="1" x14ac:dyDescent="0.2">
      <c r="A9" s="81"/>
      <c r="B9" s="83"/>
      <c r="C9" s="85"/>
      <c r="D9" s="22" t="s">
        <v>47</v>
      </c>
      <c r="E9" s="20">
        <f>800+680</f>
        <v>1480</v>
      </c>
      <c r="F9" s="65">
        <v>4220</v>
      </c>
      <c r="G9" s="30" t="s">
        <v>50</v>
      </c>
      <c r="H9" s="70">
        <v>1477.6</v>
      </c>
      <c r="I9" s="66">
        <f t="shared" ref="I9:I63" si="0">H9/E9</f>
        <v>0.99837837837837828</v>
      </c>
      <c r="M9" s="3"/>
    </row>
    <row r="10" spans="1:13" s="21" customFormat="1" x14ac:dyDescent="0.2">
      <c r="A10" s="81"/>
      <c r="B10" s="83"/>
      <c r="C10" s="85"/>
      <c r="D10" s="22" t="s">
        <v>52</v>
      </c>
      <c r="E10" s="20">
        <v>400</v>
      </c>
      <c r="F10" s="65">
        <v>4300</v>
      </c>
      <c r="G10" s="30" t="s">
        <v>50</v>
      </c>
      <c r="H10" s="70">
        <v>400</v>
      </c>
      <c r="I10" s="66">
        <f t="shared" si="0"/>
        <v>1</v>
      </c>
    </row>
    <row r="11" spans="1:13" x14ac:dyDescent="0.2">
      <c r="A11" s="81"/>
      <c r="B11" s="83"/>
      <c r="C11" s="85"/>
      <c r="D11" s="23" t="s">
        <v>67</v>
      </c>
      <c r="E11" s="24">
        <v>500</v>
      </c>
      <c r="F11" s="25">
        <v>4210</v>
      </c>
      <c r="G11" s="26" t="s">
        <v>49</v>
      </c>
      <c r="H11" s="79">
        <v>497.29</v>
      </c>
      <c r="I11" s="66">
        <f>M9/E11</f>
        <v>0</v>
      </c>
    </row>
    <row r="12" spans="1:13" x14ac:dyDescent="0.2">
      <c r="A12" s="81"/>
      <c r="B12" s="83"/>
      <c r="C12" s="85"/>
      <c r="D12" s="27" t="s">
        <v>65</v>
      </c>
      <c r="E12" s="28">
        <f>1000-148</f>
        <v>852</v>
      </c>
      <c r="F12" s="29">
        <v>4170</v>
      </c>
      <c r="G12" s="30" t="s">
        <v>49</v>
      </c>
      <c r="H12" s="71">
        <v>852</v>
      </c>
      <c r="I12" s="66">
        <f t="shared" si="0"/>
        <v>1</v>
      </c>
    </row>
    <row r="13" spans="1:13" x14ac:dyDescent="0.2">
      <c r="A13" s="81"/>
      <c r="B13" s="83"/>
      <c r="C13" s="85"/>
      <c r="D13" s="27" t="s">
        <v>65</v>
      </c>
      <c r="E13" s="28">
        <v>148</v>
      </c>
      <c r="F13" s="29">
        <v>4110</v>
      </c>
      <c r="G13" s="30" t="s">
        <v>49</v>
      </c>
      <c r="H13" s="71">
        <v>0</v>
      </c>
      <c r="I13" s="66">
        <f t="shared" si="0"/>
        <v>0</v>
      </c>
    </row>
    <row r="14" spans="1:13" x14ac:dyDescent="0.2">
      <c r="A14" s="81"/>
      <c r="B14" s="83"/>
      <c r="C14" s="85"/>
      <c r="D14" s="27" t="s">
        <v>66</v>
      </c>
      <c r="E14" s="28">
        <f>1000-400</f>
        <v>600</v>
      </c>
      <c r="F14" s="29">
        <v>4210</v>
      </c>
      <c r="G14" s="30" t="s">
        <v>51</v>
      </c>
      <c r="H14" s="71">
        <v>599.85</v>
      </c>
      <c r="I14" s="66">
        <f t="shared" si="0"/>
        <v>0.99975000000000003</v>
      </c>
    </row>
    <row r="15" spans="1:13" x14ac:dyDescent="0.2">
      <c r="A15" s="81"/>
      <c r="B15" s="83"/>
      <c r="C15" s="85"/>
      <c r="D15" s="23" t="s">
        <v>60</v>
      </c>
      <c r="E15" s="24">
        <v>6306</v>
      </c>
      <c r="F15" s="29">
        <v>6050</v>
      </c>
      <c r="G15" s="30" t="s">
        <v>48</v>
      </c>
      <c r="H15" s="72">
        <v>6306</v>
      </c>
      <c r="I15" s="66">
        <f t="shared" si="0"/>
        <v>1</v>
      </c>
    </row>
    <row r="16" spans="1:13" x14ac:dyDescent="0.2">
      <c r="A16" s="81"/>
      <c r="B16" s="83"/>
      <c r="C16" s="85"/>
      <c r="D16" s="23" t="s">
        <v>132</v>
      </c>
      <c r="E16" s="24">
        <v>1000</v>
      </c>
      <c r="F16" s="29">
        <v>4270</v>
      </c>
      <c r="G16" s="30" t="s">
        <v>48</v>
      </c>
      <c r="H16" s="72">
        <v>998.8</v>
      </c>
      <c r="I16" s="66">
        <f t="shared" si="0"/>
        <v>0.99879999999999991</v>
      </c>
    </row>
    <row r="17" spans="1:9" x14ac:dyDescent="0.2">
      <c r="A17" s="81"/>
      <c r="B17" s="83"/>
      <c r="C17" s="85"/>
      <c r="D17" s="23" t="s">
        <v>28</v>
      </c>
      <c r="E17" s="24">
        <v>1300</v>
      </c>
      <c r="F17" s="29">
        <v>6050</v>
      </c>
      <c r="G17" s="30" t="s">
        <v>51</v>
      </c>
      <c r="H17" s="72">
        <v>1266.9000000000001</v>
      </c>
      <c r="I17" s="66">
        <f t="shared" si="0"/>
        <v>0.97453846153846158</v>
      </c>
    </row>
    <row r="18" spans="1:9" x14ac:dyDescent="0.2">
      <c r="A18" s="104" t="s">
        <v>5</v>
      </c>
      <c r="B18" s="105"/>
      <c r="C18" s="105"/>
      <c r="D18" s="106"/>
      <c r="E18" s="68">
        <f>SUM(E8:E17)</f>
        <v>14806</v>
      </c>
      <c r="F18" s="68"/>
      <c r="G18" s="68"/>
      <c r="H18" s="68">
        <f>SUM(H8:H17)</f>
        <v>14617.24</v>
      </c>
      <c r="I18" s="67">
        <f t="shared" si="0"/>
        <v>0.98725111441307578</v>
      </c>
    </row>
    <row r="19" spans="1:9" s="21" customFormat="1" ht="24" x14ac:dyDescent="0.2">
      <c r="A19" s="80">
        <v>2</v>
      </c>
      <c r="B19" s="82" t="s">
        <v>6</v>
      </c>
      <c r="C19" s="84">
        <v>38661</v>
      </c>
      <c r="D19" s="32" t="s">
        <v>53</v>
      </c>
      <c r="E19" s="6">
        <f>800+50</f>
        <v>850</v>
      </c>
      <c r="F19" s="2">
        <v>4220</v>
      </c>
      <c r="G19" s="31" t="s">
        <v>50</v>
      </c>
      <c r="H19" s="71">
        <f>799.46+49.76</f>
        <v>849.22</v>
      </c>
      <c r="I19" s="66">
        <f t="shared" si="0"/>
        <v>0.99908235294117653</v>
      </c>
    </row>
    <row r="20" spans="1:9" s="21" customFormat="1" ht="24" x14ac:dyDescent="0.2">
      <c r="A20" s="81"/>
      <c r="B20" s="83"/>
      <c r="C20" s="85"/>
      <c r="D20" s="32" t="s">
        <v>54</v>
      </c>
      <c r="E20" s="6">
        <f>100+200</f>
        <v>300</v>
      </c>
      <c r="F20" s="2">
        <v>4210</v>
      </c>
      <c r="G20" s="31" t="s">
        <v>50</v>
      </c>
      <c r="H20" s="71">
        <v>299.94</v>
      </c>
      <c r="I20" s="66">
        <f t="shared" si="0"/>
        <v>0.99980000000000002</v>
      </c>
    </row>
    <row r="21" spans="1:9" s="21" customFormat="1" ht="24" x14ac:dyDescent="0.2">
      <c r="A21" s="81"/>
      <c r="B21" s="83"/>
      <c r="C21" s="85"/>
      <c r="D21" s="32" t="s">
        <v>55</v>
      </c>
      <c r="E21" s="6">
        <v>2061</v>
      </c>
      <c r="F21" s="2">
        <v>4300</v>
      </c>
      <c r="G21" s="31" t="s">
        <v>50</v>
      </c>
      <c r="H21" s="71">
        <f>1361+700</f>
        <v>2061</v>
      </c>
      <c r="I21" s="66">
        <f t="shared" si="0"/>
        <v>1</v>
      </c>
    </row>
    <row r="22" spans="1:9" s="21" customFormat="1" ht="24" x14ac:dyDescent="0.2">
      <c r="A22" s="81"/>
      <c r="B22" s="83"/>
      <c r="C22" s="85"/>
      <c r="D22" s="32" t="s">
        <v>56</v>
      </c>
      <c r="E22" s="6">
        <v>700</v>
      </c>
      <c r="F22" s="2">
        <v>4190</v>
      </c>
      <c r="G22" s="31" t="s">
        <v>50</v>
      </c>
      <c r="H22" s="71">
        <v>700</v>
      </c>
      <c r="I22" s="66">
        <f t="shared" si="0"/>
        <v>1</v>
      </c>
    </row>
    <row r="23" spans="1:9" ht="24" x14ac:dyDescent="0.2">
      <c r="A23" s="81"/>
      <c r="B23" s="83"/>
      <c r="C23" s="85"/>
      <c r="D23" s="32" t="s">
        <v>29</v>
      </c>
      <c r="E23" s="33">
        <f>2000-296</f>
        <v>1704</v>
      </c>
      <c r="F23" s="34">
        <v>4170</v>
      </c>
      <c r="G23" s="35" t="s">
        <v>49</v>
      </c>
      <c r="H23" s="71">
        <v>1704</v>
      </c>
      <c r="I23" s="66">
        <f t="shared" si="0"/>
        <v>1</v>
      </c>
    </row>
    <row r="24" spans="1:9" ht="24" x14ac:dyDescent="0.2">
      <c r="A24" s="81"/>
      <c r="B24" s="83"/>
      <c r="C24" s="85"/>
      <c r="D24" s="32" t="s">
        <v>29</v>
      </c>
      <c r="E24" s="33">
        <v>296</v>
      </c>
      <c r="F24" s="34">
        <v>4110</v>
      </c>
      <c r="G24" s="35" t="s">
        <v>49</v>
      </c>
      <c r="H24" s="71">
        <v>0</v>
      </c>
      <c r="I24" s="66">
        <f t="shared" si="0"/>
        <v>0</v>
      </c>
    </row>
    <row r="25" spans="1:9" ht="24" x14ac:dyDescent="0.2">
      <c r="A25" s="81"/>
      <c r="B25" s="83"/>
      <c r="C25" s="85"/>
      <c r="D25" s="32" t="s">
        <v>68</v>
      </c>
      <c r="E25" s="6">
        <f>1400-302-400</f>
        <v>698</v>
      </c>
      <c r="F25" s="2">
        <v>4210</v>
      </c>
      <c r="G25" s="31" t="s">
        <v>49</v>
      </c>
      <c r="H25" s="72">
        <v>697.19</v>
      </c>
      <c r="I25" s="66">
        <f t="shared" si="0"/>
        <v>0.99883954154727805</v>
      </c>
    </row>
    <row r="26" spans="1:9" s="21" customFormat="1" x14ac:dyDescent="0.2">
      <c r="A26" s="81"/>
      <c r="B26" s="83"/>
      <c r="C26" s="85"/>
      <c r="D26" s="32" t="s">
        <v>69</v>
      </c>
      <c r="E26" s="33">
        <f>1000-700-50</f>
        <v>250</v>
      </c>
      <c r="F26" s="34">
        <v>4220</v>
      </c>
      <c r="G26" s="35" t="s">
        <v>121</v>
      </c>
      <c r="H26" s="71">
        <v>248.97</v>
      </c>
      <c r="I26" s="66">
        <f t="shared" si="0"/>
        <v>0.99587999999999999</v>
      </c>
    </row>
    <row r="27" spans="1:9" s="21" customFormat="1" x14ac:dyDescent="0.2">
      <c r="A27" s="81"/>
      <c r="B27" s="83"/>
      <c r="C27" s="85"/>
      <c r="D27" s="32" t="s">
        <v>69</v>
      </c>
      <c r="E27" s="33">
        <v>700</v>
      </c>
      <c r="F27" s="34">
        <v>4300</v>
      </c>
      <c r="G27" s="35" t="s">
        <v>121</v>
      </c>
      <c r="H27" s="71">
        <v>700</v>
      </c>
      <c r="I27" s="66">
        <f t="shared" si="0"/>
        <v>1</v>
      </c>
    </row>
    <row r="28" spans="1:9" x14ac:dyDescent="0.2">
      <c r="A28" s="81"/>
      <c r="B28" s="83"/>
      <c r="C28" s="85"/>
      <c r="D28" s="32" t="s">
        <v>30</v>
      </c>
      <c r="E28" s="6">
        <v>5000</v>
      </c>
      <c r="F28" s="2">
        <v>4210</v>
      </c>
      <c r="G28" s="36" t="s">
        <v>50</v>
      </c>
      <c r="H28" s="72">
        <v>5000</v>
      </c>
      <c r="I28" s="66">
        <f t="shared" si="0"/>
        <v>1</v>
      </c>
    </row>
    <row r="29" spans="1:9" x14ac:dyDescent="0.2">
      <c r="A29" s="81"/>
      <c r="B29" s="83"/>
      <c r="C29" s="85"/>
      <c r="D29" s="37" t="s">
        <v>135</v>
      </c>
      <c r="E29" s="6">
        <f>2500+400+500</f>
        <v>3400</v>
      </c>
      <c r="F29" s="38">
        <v>6050</v>
      </c>
      <c r="G29" s="35" t="s">
        <v>57</v>
      </c>
      <c r="H29" s="72">
        <v>2829</v>
      </c>
      <c r="I29" s="66">
        <f t="shared" si="0"/>
        <v>0.83205882352941174</v>
      </c>
    </row>
    <row r="30" spans="1:9" x14ac:dyDescent="0.2">
      <c r="A30" s="81"/>
      <c r="B30" s="83"/>
      <c r="C30" s="85"/>
      <c r="D30" s="37" t="s">
        <v>70</v>
      </c>
      <c r="E30" s="6">
        <f>10000+5100</f>
        <v>15100</v>
      </c>
      <c r="F30" s="38">
        <v>6050</v>
      </c>
      <c r="G30" s="35" t="s">
        <v>50</v>
      </c>
      <c r="H30" s="72">
        <v>15100</v>
      </c>
      <c r="I30" s="66">
        <f t="shared" si="0"/>
        <v>1</v>
      </c>
    </row>
    <row r="31" spans="1:9" x14ac:dyDescent="0.2">
      <c r="A31" s="81"/>
      <c r="B31" s="83"/>
      <c r="C31" s="85"/>
      <c r="D31" s="32" t="s">
        <v>74</v>
      </c>
      <c r="E31" s="6">
        <v>3500</v>
      </c>
      <c r="F31" s="34">
        <v>4300</v>
      </c>
      <c r="G31" s="35" t="s">
        <v>50</v>
      </c>
      <c r="H31" s="72">
        <v>3500</v>
      </c>
      <c r="I31" s="66">
        <f t="shared" si="0"/>
        <v>1</v>
      </c>
    </row>
    <row r="32" spans="1:9" x14ac:dyDescent="0.2">
      <c r="A32" s="81"/>
      <c r="B32" s="83"/>
      <c r="C32" s="85"/>
      <c r="D32" s="32" t="s">
        <v>71</v>
      </c>
      <c r="E32" s="6">
        <v>200</v>
      </c>
      <c r="F32" s="38">
        <v>4210</v>
      </c>
      <c r="G32" s="35" t="s">
        <v>50</v>
      </c>
      <c r="H32" s="72">
        <v>200</v>
      </c>
      <c r="I32" s="66">
        <f t="shared" si="0"/>
        <v>1</v>
      </c>
    </row>
    <row r="33" spans="1:9" x14ac:dyDescent="0.2">
      <c r="A33" s="81"/>
      <c r="B33" s="83"/>
      <c r="C33" s="85"/>
      <c r="D33" s="32" t="s">
        <v>72</v>
      </c>
      <c r="E33" s="6">
        <v>1400</v>
      </c>
      <c r="F33" s="38">
        <v>4300</v>
      </c>
      <c r="G33" s="35" t="s">
        <v>121</v>
      </c>
      <c r="H33" s="72">
        <v>1400</v>
      </c>
      <c r="I33" s="66">
        <f t="shared" si="0"/>
        <v>1</v>
      </c>
    </row>
    <row r="34" spans="1:9" ht="24" x14ac:dyDescent="0.2">
      <c r="A34" s="81"/>
      <c r="B34" s="83"/>
      <c r="C34" s="85"/>
      <c r="D34" s="32" t="s">
        <v>134</v>
      </c>
      <c r="E34" s="6">
        <f>2000-700+700+302-200</f>
        <v>2102</v>
      </c>
      <c r="F34" s="38">
        <v>4220</v>
      </c>
      <c r="G34" s="35" t="s">
        <v>121</v>
      </c>
      <c r="H34" s="72">
        <f>1799.82+299.89</f>
        <v>2099.71</v>
      </c>
      <c r="I34" s="66">
        <f t="shared" si="0"/>
        <v>0.99891056137012368</v>
      </c>
    </row>
    <row r="35" spans="1:9" ht="24" x14ac:dyDescent="0.2">
      <c r="A35" s="81"/>
      <c r="B35" s="83"/>
      <c r="C35" s="85"/>
      <c r="D35" s="32" t="s">
        <v>134</v>
      </c>
      <c r="E35" s="6">
        <v>400</v>
      </c>
      <c r="F35" s="38">
        <v>4210</v>
      </c>
      <c r="G35" s="35" t="s">
        <v>50</v>
      </c>
      <c r="H35" s="72">
        <v>397.96</v>
      </c>
      <c r="I35" s="66">
        <f t="shared" si="0"/>
        <v>0.9948999999999999</v>
      </c>
    </row>
    <row r="36" spans="1:9" x14ac:dyDescent="0.2">
      <c r="A36" s="104" t="s">
        <v>7</v>
      </c>
      <c r="B36" s="105"/>
      <c r="C36" s="105"/>
      <c r="D36" s="106"/>
      <c r="E36" s="69">
        <f>SUM(E19:E35)</f>
        <v>38661</v>
      </c>
      <c r="F36" s="69"/>
      <c r="G36" s="69"/>
      <c r="H36" s="69">
        <f t="shared" ref="H36" si="1">SUM(H19:H35)</f>
        <v>37786.99</v>
      </c>
      <c r="I36" s="67">
        <f t="shared" si="0"/>
        <v>0.97739298000569041</v>
      </c>
    </row>
    <row r="37" spans="1:9" s="21" customFormat="1" x14ac:dyDescent="0.2">
      <c r="A37" s="80">
        <v>3</v>
      </c>
      <c r="B37" s="82" t="s">
        <v>8</v>
      </c>
      <c r="C37" s="84">
        <v>20454</v>
      </c>
      <c r="D37" s="39" t="s">
        <v>75</v>
      </c>
      <c r="E37" s="7">
        <f>2000+500-180</f>
        <v>2320</v>
      </c>
      <c r="F37" s="34">
        <v>4210</v>
      </c>
      <c r="G37" s="35" t="s">
        <v>50</v>
      </c>
      <c r="H37" s="70">
        <v>2319.36</v>
      </c>
      <c r="I37" s="66">
        <f t="shared" si="0"/>
        <v>0.99972413793103454</v>
      </c>
    </row>
    <row r="38" spans="1:9" s="21" customFormat="1" x14ac:dyDescent="0.2">
      <c r="A38" s="81"/>
      <c r="B38" s="83"/>
      <c r="C38" s="85"/>
      <c r="D38" s="39" t="s">
        <v>76</v>
      </c>
      <c r="E38" s="7">
        <f>6000+180+1050+900</f>
        <v>8130</v>
      </c>
      <c r="F38" s="34">
        <v>6050</v>
      </c>
      <c r="G38" s="35" t="s">
        <v>57</v>
      </c>
      <c r="H38" s="70">
        <v>8130</v>
      </c>
      <c r="I38" s="66">
        <f t="shared" si="0"/>
        <v>1</v>
      </c>
    </row>
    <row r="39" spans="1:9" s="21" customFormat="1" x14ac:dyDescent="0.2">
      <c r="A39" s="81"/>
      <c r="B39" s="83"/>
      <c r="C39" s="85"/>
      <c r="D39" s="39" t="s">
        <v>31</v>
      </c>
      <c r="E39" s="7">
        <v>2500</v>
      </c>
      <c r="F39" s="34">
        <v>4210</v>
      </c>
      <c r="G39" s="35" t="s">
        <v>50</v>
      </c>
      <c r="H39" s="70">
        <v>2496</v>
      </c>
      <c r="I39" s="66">
        <f t="shared" si="0"/>
        <v>0.99839999999999995</v>
      </c>
    </row>
    <row r="40" spans="1:9" s="21" customFormat="1" x14ac:dyDescent="0.2">
      <c r="A40" s="81"/>
      <c r="B40" s="83"/>
      <c r="C40" s="85"/>
      <c r="D40" s="39" t="s">
        <v>32</v>
      </c>
      <c r="E40" s="7">
        <v>500</v>
      </c>
      <c r="F40" s="34">
        <v>4260</v>
      </c>
      <c r="G40" s="35" t="s">
        <v>50</v>
      </c>
      <c r="H40" s="70">
        <v>500</v>
      </c>
      <c r="I40" s="66">
        <f t="shared" si="0"/>
        <v>1</v>
      </c>
    </row>
    <row r="41" spans="1:9" x14ac:dyDescent="0.2">
      <c r="A41" s="81"/>
      <c r="B41" s="83"/>
      <c r="C41" s="85"/>
      <c r="D41" s="39" t="s">
        <v>77</v>
      </c>
      <c r="E41" s="41">
        <f>2000-500-1050</f>
        <v>450</v>
      </c>
      <c r="F41" s="34">
        <v>4210</v>
      </c>
      <c r="G41" s="35" t="s">
        <v>49</v>
      </c>
      <c r="H41" s="71">
        <v>448.19</v>
      </c>
      <c r="I41" s="66">
        <f t="shared" si="0"/>
        <v>0.99597777777777774</v>
      </c>
    </row>
    <row r="42" spans="1:9" x14ac:dyDescent="0.2">
      <c r="A42" s="81"/>
      <c r="B42" s="83"/>
      <c r="C42" s="85"/>
      <c r="D42" s="39" t="s">
        <v>78</v>
      </c>
      <c r="E42" s="41">
        <f>1000-148</f>
        <v>852</v>
      </c>
      <c r="F42" s="34">
        <v>4170</v>
      </c>
      <c r="G42" s="35" t="s">
        <v>49</v>
      </c>
      <c r="H42" s="71">
        <v>852</v>
      </c>
      <c r="I42" s="66">
        <f t="shared" si="0"/>
        <v>1</v>
      </c>
    </row>
    <row r="43" spans="1:9" x14ac:dyDescent="0.2">
      <c r="A43" s="81"/>
      <c r="B43" s="83"/>
      <c r="C43" s="85"/>
      <c r="D43" s="39" t="s">
        <v>78</v>
      </c>
      <c r="E43" s="41">
        <v>148</v>
      </c>
      <c r="F43" s="34">
        <v>4110</v>
      </c>
      <c r="G43" s="35" t="s">
        <v>49</v>
      </c>
      <c r="H43" s="71">
        <v>0</v>
      </c>
      <c r="I43" s="66">
        <f t="shared" si="0"/>
        <v>0</v>
      </c>
    </row>
    <row r="44" spans="1:9" s="21" customFormat="1" x14ac:dyDescent="0.2">
      <c r="A44" s="81"/>
      <c r="B44" s="83"/>
      <c r="C44" s="85"/>
      <c r="D44" s="39" t="s">
        <v>126</v>
      </c>
      <c r="E44" s="41">
        <v>4000</v>
      </c>
      <c r="F44" s="38">
        <v>4300</v>
      </c>
      <c r="G44" s="35" t="s">
        <v>50</v>
      </c>
      <c r="H44" s="70">
        <v>4000</v>
      </c>
      <c r="I44" s="66">
        <f t="shared" si="0"/>
        <v>1</v>
      </c>
    </row>
    <row r="45" spans="1:9" s="21" customFormat="1" x14ac:dyDescent="0.2">
      <c r="A45" s="81"/>
      <c r="B45" s="83"/>
      <c r="C45" s="85"/>
      <c r="D45" s="39" t="s">
        <v>79</v>
      </c>
      <c r="E45" s="41">
        <v>38</v>
      </c>
      <c r="F45" s="38">
        <v>4210</v>
      </c>
      <c r="G45" s="35" t="s">
        <v>50</v>
      </c>
      <c r="H45" s="70">
        <v>38</v>
      </c>
      <c r="I45" s="66">
        <f t="shared" si="0"/>
        <v>1</v>
      </c>
    </row>
    <row r="46" spans="1:9" s="21" customFormat="1" x14ac:dyDescent="0.2">
      <c r="A46" s="81"/>
      <c r="B46" s="83"/>
      <c r="C46" s="85"/>
      <c r="D46" s="39" t="s">
        <v>79</v>
      </c>
      <c r="E46" s="41">
        <f>300-38</f>
        <v>262</v>
      </c>
      <c r="F46" s="38">
        <v>4220</v>
      </c>
      <c r="G46" s="35" t="s">
        <v>50</v>
      </c>
      <c r="H46" s="70">
        <v>262</v>
      </c>
      <c r="I46" s="66">
        <f t="shared" si="0"/>
        <v>1</v>
      </c>
    </row>
    <row r="47" spans="1:9" x14ac:dyDescent="0.2">
      <c r="A47" s="98"/>
      <c r="B47" s="99"/>
      <c r="C47" s="100"/>
      <c r="D47" s="39" t="s">
        <v>79</v>
      </c>
      <c r="E47" s="6">
        <f>2454-300-900</f>
        <v>1254</v>
      </c>
      <c r="F47" s="42">
        <v>4300</v>
      </c>
      <c r="G47" s="31" t="s">
        <v>50</v>
      </c>
      <c r="H47" s="72">
        <v>1254</v>
      </c>
      <c r="I47" s="66">
        <f t="shared" si="0"/>
        <v>1</v>
      </c>
    </row>
    <row r="48" spans="1:9" x14ac:dyDescent="0.2">
      <c r="A48" s="88" t="s">
        <v>7</v>
      </c>
      <c r="B48" s="89"/>
      <c r="C48" s="89"/>
      <c r="D48" s="90"/>
      <c r="E48" s="43">
        <f>SUM(E37:E47)</f>
        <v>20454</v>
      </c>
      <c r="F48" s="43"/>
      <c r="G48" s="43"/>
      <c r="H48" s="43">
        <f>SUM(H37:H47)</f>
        <v>20299.550000000003</v>
      </c>
      <c r="I48" s="43">
        <f>SUM(I37:I47)</f>
        <v>9.9941019157088125</v>
      </c>
    </row>
    <row r="49" spans="1:9" s="21" customFormat="1" x14ac:dyDescent="0.2">
      <c r="A49" s="80">
        <v>4</v>
      </c>
      <c r="B49" s="82" t="s">
        <v>22</v>
      </c>
      <c r="C49" s="84">
        <v>13271</v>
      </c>
      <c r="D49" s="40" t="s">
        <v>80</v>
      </c>
      <c r="E49" s="44">
        <v>4000</v>
      </c>
      <c r="F49" s="38">
        <v>4300</v>
      </c>
      <c r="G49" s="35" t="s">
        <v>50</v>
      </c>
      <c r="H49" s="70">
        <v>3997.62</v>
      </c>
      <c r="I49" s="66">
        <f t="shared" si="0"/>
        <v>0.99940499999999999</v>
      </c>
    </row>
    <row r="50" spans="1:9" x14ac:dyDescent="0.2">
      <c r="A50" s="81"/>
      <c r="B50" s="83"/>
      <c r="C50" s="85"/>
      <c r="D50" s="40" t="s">
        <v>81</v>
      </c>
      <c r="E50" s="4">
        <v>6000</v>
      </c>
      <c r="F50" s="42">
        <v>6050</v>
      </c>
      <c r="G50" s="31" t="s">
        <v>51</v>
      </c>
      <c r="H50" s="72">
        <v>6000</v>
      </c>
      <c r="I50" s="66">
        <f t="shared" si="0"/>
        <v>1</v>
      </c>
    </row>
    <row r="51" spans="1:9" x14ac:dyDescent="0.2">
      <c r="A51" s="81"/>
      <c r="B51" s="83"/>
      <c r="C51" s="85"/>
      <c r="D51" s="40" t="s">
        <v>127</v>
      </c>
      <c r="E51" s="4">
        <v>680</v>
      </c>
      <c r="F51" s="42">
        <v>4210</v>
      </c>
      <c r="G51" s="31" t="s">
        <v>51</v>
      </c>
      <c r="H51" s="72">
        <v>680</v>
      </c>
      <c r="I51" s="66">
        <f t="shared" si="0"/>
        <v>1</v>
      </c>
    </row>
    <row r="52" spans="1:9" x14ac:dyDescent="0.2">
      <c r="A52" s="81"/>
      <c r="B52" s="83"/>
      <c r="C52" s="85"/>
      <c r="D52" s="40" t="s">
        <v>82</v>
      </c>
      <c r="E52" s="4">
        <v>230</v>
      </c>
      <c r="F52" s="42">
        <v>6050</v>
      </c>
      <c r="G52" s="31" t="s">
        <v>51</v>
      </c>
      <c r="H52" s="72">
        <v>230</v>
      </c>
      <c r="I52" s="66">
        <f t="shared" si="0"/>
        <v>1</v>
      </c>
    </row>
    <row r="53" spans="1:9" x14ac:dyDescent="0.2">
      <c r="A53" s="81"/>
      <c r="B53" s="83"/>
      <c r="C53" s="85"/>
      <c r="D53" s="40" t="s">
        <v>83</v>
      </c>
      <c r="E53" s="4">
        <v>1500</v>
      </c>
      <c r="F53" s="42">
        <v>6050</v>
      </c>
      <c r="G53" s="31" t="s">
        <v>51</v>
      </c>
      <c r="H53" s="72">
        <v>1500</v>
      </c>
      <c r="I53" s="66">
        <f t="shared" si="0"/>
        <v>1</v>
      </c>
    </row>
    <row r="54" spans="1:9" x14ac:dyDescent="0.2">
      <c r="A54" s="81"/>
      <c r="B54" s="83"/>
      <c r="C54" s="85"/>
      <c r="D54" s="40" t="s">
        <v>125</v>
      </c>
      <c r="E54" s="4">
        <v>250</v>
      </c>
      <c r="F54" s="38">
        <v>4210</v>
      </c>
      <c r="G54" s="35" t="s">
        <v>50</v>
      </c>
      <c r="H54" s="72">
        <v>248.7</v>
      </c>
      <c r="I54" s="66">
        <f t="shared" si="0"/>
        <v>0.99479999999999991</v>
      </c>
    </row>
    <row r="55" spans="1:9" x14ac:dyDescent="0.2">
      <c r="A55" s="98"/>
      <c r="B55" s="99"/>
      <c r="C55" s="100"/>
      <c r="D55" s="40" t="s">
        <v>84</v>
      </c>
      <c r="E55" s="4">
        <f>861-250</f>
        <v>611</v>
      </c>
      <c r="F55" s="38">
        <v>4220</v>
      </c>
      <c r="G55" s="35" t="s">
        <v>50</v>
      </c>
      <c r="H55" s="72">
        <v>611</v>
      </c>
      <c r="I55" s="66">
        <f t="shared" si="0"/>
        <v>1</v>
      </c>
    </row>
    <row r="56" spans="1:9" x14ac:dyDescent="0.2">
      <c r="A56" s="88" t="s">
        <v>7</v>
      </c>
      <c r="B56" s="89"/>
      <c r="C56" s="89"/>
      <c r="D56" s="90"/>
      <c r="E56" s="43">
        <f>SUM(E49:E55)</f>
        <v>13271</v>
      </c>
      <c r="F56" s="43"/>
      <c r="G56" s="43"/>
      <c r="H56" s="43">
        <f t="shared" ref="H56:I56" si="2">SUM(H49:H55)</f>
        <v>13267.32</v>
      </c>
      <c r="I56" s="43">
        <f t="shared" si="2"/>
        <v>6.9942049999999991</v>
      </c>
    </row>
    <row r="57" spans="1:9" s="21" customFormat="1" x14ac:dyDescent="0.2">
      <c r="A57" s="80">
        <v>5</v>
      </c>
      <c r="B57" s="82" t="s">
        <v>9</v>
      </c>
      <c r="C57" s="84">
        <v>17109</v>
      </c>
      <c r="D57" s="37" t="s">
        <v>85</v>
      </c>
      <c r="E57" s="6">
        <f>10000+3000</f>
        <v>13000</v>
      </c>
      <c r="F57" s="38">
        <v>6050</v>
      </c>
      <c r="G57" s="35" t="s">
        <v>57</v>
      </c>
      <c r="H57" s="70">
        <v>13000</v>
      </c>
      <c r="I57" s="66">
        <f t="shared" si="0"/>
        <v>1</v>
      </c>
    </row>
    <row r="58" spans="1:9" x14ac:dyDescent="0.2">
      <c r="A58" s="81"/>
      <c r="B58" s="83"/>
      <c r="C58" s="85"/>
      <c r="D58" s="37" t="s">
        <v>86</v>
      </c>
      <c r="E58" s="6">
        <v>200</v>
      </c>
      <c r="F58" s="42">
        <v>4210</v>
      </c>
      <c r="G58" s="31" t="s">
        <v>49</v>
      </c>
      <c r="H58" s="73">
        <v>199.33</v>
      </c>
      <c r="I58" s="66">
        <f t="shared" si="0"/>
        <v>0.99665000000000004</v>
      </c>
    </row>
    <row r="59" spans="1:9" x14ac:dyDescent="0.2">
      <c r="A59" s="81"/>
      <c r="B59" s="83"/>
      <c r="C59" s="85"/>
      <c r="D59" s="45" t="s">
        <v>33</v>
      </c>
      <c r="E59" s="6">
        <v>1000</v>
      </c>
      <c r="F59" s="2">
        <v>4210</v>
      </c>
      <c r="G59" s="31" t="s">
        <v>50</v>
      </c>
      <c r="H59" s="72">
        <v>1000</v>
      </c>
      <c r="I59" s="66">
        <f t="shared" si="0"/>
        <v>1</v>
      </c>
    </row>
    <row r="60" spans="1:9" s="21" customFormat="1" x14ac:dyDescent="0.2">
      <c r="A60" s="81"/>
      <c r="B60" s="83"/>
      <c r="C60" s="85"/>
      <c r="D60" s="46" t="s">
        <v>87</v>
      </c>
      <c r="E60" s="33">
        <v>200</v>
      </c>
      <c r="F60" s="38">
        <v>4260</v>
      </c>
      <c r="G60" s="35" t="s">
        <v>50</v>
      </c>
      <c r="H60" s="70">
        <v>71.39</v>
      </c>
      <c r="I60" s="66">
        <f t="shared" si="0"/>
        <v>0.35694999999999999</v>
      </c>
    </row>
    <row r="61" spans="1:9" x14ac:dyDescent="0.2">
      <c r="A61" s="81"/>
      <c r="B61" s="83"/>
      <c r="C61" s="85"/>
      <c r="D61" s="23" t="s">
        <v>34</v>
      </c>
      <c r="E61" s="6">
        <f>1700-1000-3</f>
        <v>697</v>
      </c>
      <c r="F61" s="34">
        <v>4210</v>
      </c>
      <c r="G61" s="35" t="s">
        <v>50</v>
      </c>
      <c r="H61" s="72">
        <v>697</v>
      </c>
      <c r="I61" s="66">
        <f t="shared" si="0"/>
        <v>1</v>
      </c>
    </row>
    <row r="62" spans="1:9" x14ac:dyDescent="0.2">
      <c r="A62" s="81"/>
      <c r="B62" s="83"/>
      <c r="C62" s="85"/>
      <c r="D62" s="23" t="s">
        <v>34</v>
      </c>
      <c r="E62" s="6">
        <f>1000+3</f>
        <v>1003</v>
      </c>
      <c r="F62" s="34">
        <v>4220</v>
      </c>
      <c r="G62" s="35" t="s">
        <v>50</v>
      </c>
      <c r="H62" s="72">
        <v>926</v>
      </c>
      <c r="I62" s="66">
        <f t="shared" si="0"/>
        <v>0.9232303090727817</v>
      </c>
    </row>
    <row r="63" spans="1:9" x14ac:dyDescent="0.2">
      <c r="A63" s="81"/>
      <c r="B63" s="83"/>
      <c r="C63" s="85"/>
      <c r="D63" s="45" t="s">
        <v>35</v>
      </c>
      <c r="E63" s="6">
        <v>1009</v>
      </c>
      <c r="F63" s="34">
        <v>4210</v>
      </c>
      <c r="G63" s="35" t="s">
        <v>50</v>
      </c>
      <c r="H63" s="72">
        <v>1009</v>
      </c>
      <c r="I63" s="66">
        <f t="shared" si="0"/>
        <v>1</v>
      </c>
    </row>
    <row r="64" spans="1:9" x14ac:dyDescent="0.2">
      <c r="A64" s="88" t="s">
        <v>7</v>
      </c>
      <c r="B64" s="89"/>
      <c r="C64" s="89"/>
      <c r="D64" s="90"/>
      <c r="E64" s="47">
        <f>SUM(E57:E63)</f>
        <v>17109</v>
      </c>
      <c r="F64" s="47"/>
      <c r="G64" s="47"/>
      <c r="H64" s="47">
        <f t="shared" ref="H64:I64" si="3">SUM(H57:H63)</f>
        <v>16902.72</v>
      </c>
      <c r="I64" s="47">
        <f t="shared" si="3"/>
        <v>6.2768303090727819</v>
      </c>
    </row>
    <row r="65" spans="1:9" s="21" customFormat="1" x14ac:dyDescent="0.2">
      <c r="A65" s="80">
        <v>6</v>
      </c>
      <c r="B65" s="82" t="s">
        <v>11</v>
      </c>
      <c r="C65" s="84">
        <v>29558</v>
      </c>
      <c r="D65" s="37" t="s">
        <v>88</v>
      </c>
      <c r="E65" s="6">
        <v>16000</v>
      </c>
      <c r="F65" s="42">
        <v>6060</v>
      </c>
      <c r="G65" s="31" t="s">
        <v>51</v>
      </c>
      <c r="H65" s="71">
        <v>15337</v>
      </c>
      <c r="I65" s="66">
        <f t="shared" ref="I65:I119" si="4">H65/E65</f>
        <v>0.95856249999999998</v>
      </c>
    </row>
    <row r="66" spans="1:9" x14ac:dyDescent="0.2">
      <c r="A66" s="81"/>
      <c r="B66" s="83"/>
      <c r="C66" s="85"/>
      <c r="D66" s="37" t="s">
        <v>91</v>
      </c>
      <c r="E66" s="6">
        <f>3000-166</f>
        <v>2834</v>
      </c>
      <c r="F66" s="42">
        <v>4210</v>
      </c>
      <c r="G66" s="31" t="s">
        <v>50</v>
      </c>
      <c r="H66" s="72">
        <v>2834</v>
      </c>
      <c r="I66" s="66">
        <f t="shared" si="4"/>
        <v>1</v>
      </c>
    </row>
    <row r="67" spans="1:9" x14ac:dyDescent="0.2">
      <c r="A67" s="81"/>
      <c r="B67" s="83"/>
      <c r="C67" s="85"/>
      <c r="D67" s="23" t="s">
        <v>36</v>
      </c>
      <c r="E67" s="6">
        <v>2000</v>
      </c>
      <c r="F67" s="42">
        <v>4210</v>
      </c>
      <c r="G67" s="31" t="s">
        <v>49</v>
      </c>
      <c r="H67" s="72">
        <v>2000</v>
      </c>
      <c r="I67" s="66">
        <f t="shared" si="4"/>
        <v>1</v>
      </c>
    </row>
    <row r="68" spans="1:9" s="21" customFormat="1" x14ac:dyDescent="0.2">
      <c r="A68" s="81"/>
      <c r="B68" s="83"/>
      <c r="C68" s="85"/>
      <c r="D68" s="46" t="s">
        <v>37</v>
      </c>
      <c r="E68" s="33">
        <f>1000-500</f>
        <v>500</v>
      </c>
      <c r="F68" s="38">
        <v>4260</v>
      </c>
      <c r="G68" s="35" t="s">
        <v>50</v>
      </c>
      <c r="H68" s="71">
        <v>459.78</v>
      </c>
      <c r="I68" s="66">
        <f t="shared" si="4"/>
        <v>0.91955999999999993</v>
      </c>
    </row>
    <row r="69" spans="1:9" s="21" customFormat="1" x14ac:dyDescent="0.2">
      <c r="A69" s="81"/>
      <c r="B69" s="83"/>
      <c r="C69" s="85"/>
      <c r="D69" s="46" t="s">
        <v>37</v>
      </c>
      <c r="E69" s="33">
        <f>1000-500</f>
        <v>500</v>
      </c>
      <c r="F69" s="38">
        <v>4260</v>
      </c>
      <c r="G69" s="35" t="s">
        <v>50</v>
      </c>
      <c r="H69" s="71">
        <v>499.5</v>
      </c>
      <c r="I69" s="66">
        <f t="shared" si="4"/>
        <v>0.999</v>
      </c>
    </row>
    <row r="70" spans="1:9" s="21" customFormat="1" x14ac:dyDescent="0.2">
      <c r="A70" s="81"/>
      <c r="B70" s="83"/>
      <c r="C70" s="85"/>
      <c r="D70" s="46" t="s">
        <v>89</v>
      </c>
      <c r="E70" s="33">
        <v>43</v>
      </c>
      <c r="F70" s="38">
        <v>4210</v>
      </c>
      <c r="G70" s="35" t="s">
        <v>50</v>
      </c>
      <c r="H70" s="71">
        <v>42.96</v>
      </c>
      <c r="I70" s="66">
        <f t="shared" si="4"/>
        <v>0.99906976744186049</v>
      </c>
    </row>
    <row r="71" spans="1:9" s="21" customFormat="1" x14ac:dyDescent="0.2">
      <c r="A71" s="81"/>
      <c r="B71" s="83"/>
      <c r="C71" s="85"/>
      <c r="D71" s="46" t="s">
        <v>89</v>
      </c>
      <c r="E71" s="33">
        <f>3000-1600+166+258+500-43</f>
        <v>2281</v>
      </c>
      <c r="F71" s="38">
        <v>4220</v>
      </c>
      <c r="G71" s="35" t="s">
        <v>50</v>
      </c>
      <c r="H71" s="71">
        <v>2279.0100000000002</v>
      </c>
      <c r="I71" s="66">
        <f t="shared" si="4"/>
        <v>0.99912757562472609</v>
      </c>
    </row>
    <row r="72" spans="1:9" s="21" customFormat="1" x14ac:dyDescent="0.2">
      <c r="A72" s="81"/>
      <c r="B72" s="83"/>
      <c r="C72" s="85"/>
      <c r="D72" s="46" t="s">
        <v>89</v>
      </c>
      <c r="E72" s="33">
        <v>1600</v>
      </c>
      <c r="F72" s="38">
        <v>4300</v>
      </c>
      <c r="G72" s="35" t="s">
        <v>50</v>
      </c>
      <c r="H72" s="71">
        <v>1600</v>
      </c>
      <c r="I72" s="66">
        <f t="shared" si="4"/>
        <v>1</v>
      </c>
    </row>
    <row r="73" spans="1:9" s="21" customFormat="1" x14ac:dyDescent="0.2">
      <c r="A73" s="81"/>
      <c r="B73" s="83"/>
      <c r="C73" s="85"/>
      <c r="D73" s="46" t="s">
        <v>90</v>
      </c>
      <c r="E73" s="33">
        <f>3058-300-258</f>
        <v>2500</v>
      </c>
      <c r="F73" s="38">
        <v>4210</v>
      </c>
      <c r="G73" s="35" t="s">
        <v>50</v>
      </c>
      <c r="H73" s="71">
        <v>2500</v>
      </c>
      <c r="I73" s="66">
        <f t="shared" si="4"/>
        <v>1</v>
      </c>
    </row>
    <row r="74" spans="1:9" s="21" customFormat="1" x14ac:dyDescent="0.2">
      <c r="A74" s="81"/>
      <c r="B74" s="83"/>
      <c r="C74" s="85"/>
      <c r="D74" s="46" t="s">
        <v>130</v>
      </c>
      <c r="E74" s="33">
        <v>300</v>
      </c>
      <c r="F74" s="38">
        <v>4270</v>
      </c>
      <c r="G74" s="35" t="s">
        <v>50</v>
      </c>
      <c r="H74" s="71">
        <v>300</v>
      </c>
      <c r="I74" s="66">
        <f t="shared" si="4"/>
        <v>1</v>
      </c>
    </row>
    <row r="75" spans="1:9" x14ac:dyDescent="0.2">
      <c r="A75" s="81"/>
      <c r="B75" s="83"/>
      <c r="C75" s="85"/>
      <c r="D75" s="27" t="s">
        <v>61</v>
      </c>
      <c r="E75" s="33">
        <f>1000-148</f>
        <v>852</v>
      </c>
      <c r="F75" s="38">
        <v>4170</v>
      </c>
      <c r="G75" s="35" t="s">
        <v>49</v>
      </c>
      <c r="H75" s="71">
        <v>852</v>
      </c>
      <c r="I75" s="66">
        <f t="shared" si="4"/>
        <v>1</v>
      </c>
    </row>
    <row r="76" spans="1:9" x14ac:dyDescent="0.2">
      <c r="A76" s="81"/>
      <c r="B76" s="83"/>
      <c r="C76" s="85"/>
      <c r="D76" s="27" t="s">
        <v>61</v>
      </c>
      <c r="E76" s="33">
        <v>148</v>
      </c>
      <c r="F76" s="38">
        <v>4110</v>
      </c>
      <c r="G76" s="35" t="s">
        <v>49</v>
      </c>
      <c r="H76" s="71">
        <v>0</v>
      </c>
      <c r="I76" s="66">
        <f t="shared" si="4"/>
        <v>0</v>
      </c>
    </row>
    <row r="77" spans="1:9" x14ac:dyDescent="0.2">
      <c r="A77" s="88" t="s">
        <v>7</v>
      </c>
      <c r="B77" s="89"/>
      <c r="C77" s="89"/>
      <c r="D77" s="90"/>
      <c r="E77" s="47">
        <f>SUM(E65:E76)</f>
        <v>29558</v>
      </c>
      <c r="F77" s="47"/>
      <c r="G77" s="47"/>
      <c r="H77" s="47">
        <f t="shared" ref="H77:I77" si="5">SUM(H65:H76)</f>
        <v>28704.25</v>
      </c>
      <c r="I77" s="47">
        <f t="shared" si="5"/>
        <v>10.875319843066587</v>
      </c>
    </row>
    <row r="78" spans="1:9" s="21" customFormat="1" x14ac:dyDescent="0.2">
      <c r="A78" s="80">
        <v>7</v>
      </c>
      <c r="B78" s="82" t="s">
        <v>12</v>
      </c>
      <c r="C78" s="84">
        <v>32409</v>
      </c>
      <c r="D78" s="32" t="s">
        <v>92</v>
      </c>
      <c r="E78" s="6">
        <v>8000</v>
      </c>
      <c r="F78" s="38">
        <v>6050</v>
      </c>
      <c r="G78" s="35" t="s">
        <v>57</v>
      </c>
      <c r="H78" s="71">
        <v>8000</v>
      </c>
      <c r="I78" s="66">
        <f>H78/E78</f>
        <v>1</v>
      </c>
    </row>
    <row r="79" spans="1:9" s="21" customFormat="1" x14ac:dyDescent="0.2">
      <c r="A79" s="81"/>
      <c r="B79" s="83"/>
      <c r="C79" s="85"/>
      <c r="D79" s="27" t="s">
        <v>93</v>
      </c>
      <c r="E79" s="6">
        <v>5000</v>
      </c>
      <c r="F79" s="38">
        <v>4210</v>
      </c>
      <c r="G79" s="35" t="s">
        <v>50</v>
      </c>
      <c r="H79" s="71">
        <v>4921.5</v>
      </c>
      <c r="I79" s="66">
        <f t="shared" si="4"/>
        <v>0.98429999999999995</v>
      </c>
    </row>
    <row r="80" spans="1:9" x14ac:dyDescent="0.2">
      <c r="A80" s="81"/>
      <c r="B80" s="83"/>
      <c r="C80" s="85"/>
      <c r="D80" s="27" t="s">
        <v>94</v>
      </c>
      <c r="E80" s="33">
        <v>3000</v>
      </c>
      <c r="F80" s="34">
        <v>4210</v>
      </c>
      <c r="G80" s="35" t="s">
        <v>120</v>
      </c>
      <c r="H80" s="71">
        <v>3000</v>
      </c>
      <c r="I80" s="66">
        <f t="shared" si="4"/>
        <v>1</v>
      </c>
    </row>
    <row r="81" spans="1:9" x14ac:dyDescent="0.2">
      <c r="A81" s="81"/>
      <c r="B81" s="83"/>
      <c r="C81" s="85"/>
      <c r="D81" s="27" t="s">
        <v>95</v>
      </c>
      <c r="E81" s="33">
        <f>1300-190</f>
        <v>1110</v>
      </c>
      <c r="F81" s="34">
        <v>4170</v>
      </c>
      <c r="G81" s="35" t="s">
        <v>49</v>
      </c>
      <c r="H81" s="71">
        <v>1110</v>
      </c>
      <c r="I81" s="66">
        <f t="shared" si="4"/>
        <v>1</v>
      </c>
    </row>
    <row r="82" spans="1:9" x14ac:dyDescent="0.2">
      <c r="A82" s="81"/>
      <c r="B82" s="83"/>
      <c r="C82" s="85"/>
      <c r="D82" s="27" t="s">
        <v>95</v>
      </c>
      <c r="E82" s="33">
        <v>190</v>
      </c>
      <c r="F82" s="34">
        <v>4110</v>
      </c>
      <c r="G82" s="35" t="s">
        <v>49</v>
      </c>
      <c r="H82" s="71">
        <v>189.84</v>
      </c>
      <c r="I82" s="66">
        <f t="shared" si="4"/>
        <v>0.99915789473684213</v>
      </c>
    </row>
    <row r="83" spans="1:9" x14ac:dyDescent="0.2">
      <c r="A83" s="81"/>
      <c r="B83" s="83"/>
      <c r="C83" s="85"/>
      <c r="D83" s="27" t="s">
        <v>95</v>
      </c>
      <c r="E83" s="33">
        <v>28</v>
      </c>
      <c r="F83" s="34">
        <v>4120</v>
      </c>
      <c r="G83" s="35" t="s">
        <v>49</v>
      </c>
      <c r="H83" s="71">
        <v>27.18</v>
      </c>
      <c r="I83" s="66">
        <f t="shared" si="4"/>
        <v>0.97071428571428575</v>
      </c>
    </row>
    <row r="84" spans="1:9" x14ac:dyDescent="0.2">
      <c r="A84" s="81"/>
      <c r="B84" s="83"/>
      <c r="C84" s="85"/>
      <c r="D84" s="32" t="s">
        <v>96</v>
      </c>
      <c r="E84" s="33">
        <f>700-28</f>
        <v>672</v>
      </c>
      <c r="F84" s="38">
        <v>4210</v>
      </c>
      <c r="G84" s="35" t="s">
        <v>49</v>
      </c>
      <c r="H84" s="73">
        <v>671.04</v>
      </c>
      <c r="I84" s="66">
        <f t="shared" si="4"/>
        <v>0.99857142857142855</v>
      </c>
    </row>
    <row r="85" spans="1:9" x14ac:dyDescent="0.2">
      <c r="A85" s="81"/>
      <c r="B85" s="83"/>
      <c r="C85" s="85"/>
      <c r="D85" s="32" t="s">
        <v>97</v>
      </c>
      <c r="E85" s="33">
        <v>1000</v>
      </c>
      <c r="F85" s="38">
        <v>4210</v>
      </c>
      <c r="G85" s="35" t="s">
        <v>50</v>
      </c>
      <c r="H85" s="72">
        <v>1000</v>
      </c>
      <c r="I85" s="66">
        <f t="shared" si="4"/>
        <v>1</v>
      </c>
    </row>
    <row r="86" spans="1:9" x14ac:dyDescent="0.2">
      <c r="A86" s="81"/>
      <c r="B86" s="83"/>
      <c r="C86" s="85"/>
      <c r="D86" s="27" t="s">
        <v>98</v>
      </c>
      <c r="E86" s="33">
        <f>4909+3000+3000+500</f>
        <v>11409</v>
      </c>
      <c r="F86" s="34">
        <v>4270</v>
      </c>
      <c r="G86" s="35" t="s">
        <v>48</v>
      </c>
      <c r="H86" s="74">
        <v>11409</v>
      </c>
      <c r="I86" s="66">
        <f t="shared" si="4"/>
        <v>1</v>
      </c>
    </row>
    <row r="87" spans="1:9" ht="24" x14ac:dyDescent="0.2">
      <c r="A87" s="81"/>
      <c r="B87" s="83"/>
      <c r="C87" s="85"/>
      <c r="D87" s="27" t="s">
        <v>58</v>
      </c>
      <c r="E87" s="33">
        <v>1000</v>
      </c>
      <c r="F87" s="34">
        <v>4300</v>
      </c>
      <c r="G87" s="35" t="s">
        <v>50</v>
      </c>
      <c r="H87" s="74">
        <v>1000</v>
      </c>
      <c r="I87" s="66">
        <f t="shared" si="4"/>
        <v>1</v>
      </c>
    </row>
    <row r="88" spans="1:9" x14ac:dyDescent="0.2">
      <c r="A88" s="81"/>
      <c r="B88" s="83"/>
      <c r="C88" s="85"/>
      <c r="D88" s="32" t="s">
        <v>59</v>
      </c>
      <c r="E88" s="33">
        <v>1000</v>
      </c>
      <c r="F88" s="38">
        <v>4220</v>
      </c>
      <c r="G88" s="35" t="s">
        <v>50</v>
      </c>
      <c r="H88" s="72">
        <v>995.01</v>
      </c>
      <c r="I88" s="66">
        <f t="shared" si="4"/>
        <v>0.99500999999999995</v>
      </c>
    </row>
    <row r="89" spans="1:9" x14ac:dyDescent="0.2">
      <c r="A89" s="88" t="s">
        <v>7</v>
      </c>
      <c r="B89" s="89"/>
      <c r="C89" s="89"/>
      <c r="D89" s="90"/>
      <c r="E89" s="47">
        <f>SUM(E78:E88)</f>
        <v>32409</v>
      </c>
      <c r="F89" s="47"/>
      <c r="G89" s="47"/>
      <c r="H89" s="47">
        <f t="shared" ref="H89:I89" si="6">SUM(H78:H88)</f>
        <v>32323.57</v>
      </c>
      <c r="I89" s="47">
        <f t="shared" si="6"/>
        <v>10.947753609022557</v>
      </c>
    </row>
    <row r="90" spans="1:9" x14ac:dyDescent="0.2">
      <c r="A90" s="80">
        <v>8</v>
      </c>
      <c r="B90" s="82" t="s">
        <v>10</v>
      </c>
      <c r="C90" s="84">
        <v>19193</v>
      </c>
      <c r="D90" s="32" t="s">
        <v>38</v>
      </c>
      <c r="E90" s="33">
        <f>7000+1000+1800</f>
        <v>9800</v>
      </c>
      <c r="F90" s="42">
        <v>6050</v>
      </c>
      <c r="G90" s="31" t="s">
        <v>57</v>
      </c>
      <c r="H90" s="3">
        <v>9800</v>
      </c>
      <c r="I90" s="66">
        <f t="shared" si="4"/>
        <v>1</v>
      </c>
    </row>
    <row r="91" spans="1:9" x14ac:dyDescent="0.2">
      <c r="A91" s="81"/>
      <c r="B91" s="83"/>
      <c r="C91" s="85"/>
      <c r="D91" s="32" t="s">
        <v>24</v>
      </c>
      <c r="E91" s="33">
        <v>2500</v>
      </c>
      <c r="F91" s="42">
        <v>4210</v>
      </c>
      <c r="G91" s="31" t="s">
        <v>50</v>
      </c>
      <c r="H91" s="3">
        <v>2460</v>
      </c>
      <c r="I91" s="66">
        <f t="shared" si="4"/>
        <v>0.98399999999999999</v>
      </c>
    </row>
    <row r="92" spans="1:9" x14ac:dyDescent="0.2">
      <c r="A92" s="81"/>
      <c r="B92" s="83"/>
      <c r="C92" s="85"/>
      <c r="D92" s="32" t="s">
        <v>99</v>
      </c>
      <c r="E92" s="33">
        <v>400</v>
      </c>
      <c r="F92" s="42">
        <v>4210</v>
      </c>
      <c r="G92" s="31" t="s">
        <v>49</v>
      </c>
      <c r="H92" s="3">
        <v>399.65</v>
      </c>
      <c r="I92" s="66">
        <f t="shared" si="4"/>
        <v>0.99912499999999993</v>
      </c>
    </row>
    <row r="93" spans="1:9" x14ac:dyDescent="0.2">
      <c r="A93" s="81"/>
      <c r="B93" s="83"/>
      <c r="C93" s="85"/>
      <c r="D93" s="32" t="s">
        <v>100</v>
      </c>
      <c r="E93" s="33">
        <f>400-64</f>
        <v>336</v>
      </c>
      <c r="F93" s="38">
        <v>4170</v>
      </c>
      <c r="G93" s="35" t="s">
        <v>49</v>
      </c>
      <c r="H93" s="3">
        <v>336</v>
      </c>
      <c r="I93" s="66">
        <f t="shared" si="4"/>
        <v>1</v>
      </c>
    </row>
    <row r="94" spans="1:9" x14ac:dyDescent="0.2">
      <c r="A94" s="81"/>
      <c r="B94" s="83"/>
      <c r="C94" s="85"/>
      <c r="D94" s="32" t="s">
        <v>100</v>
      </c>
      <c r="E94" s="33">
        <v>64</v>
      </c>
      <c r="F94" s="38">
        <v>4110</v>
      </c>
      <c r="G94" s="35" t="s">
        <v>49</v>
      </c>
      <c r="H94" s="3">
        <v>57.48</v>
      </c>
      <c r="I94" s="66">
        <f t="shared" si="4"/>
        <v>0.89812499999999995</v>
      </c>
    </row>
    <row r="95" spans="1:9" x14ac:dyDescent="0.2">
      <c r="A95" s="81"/>
      <c r="B95" s="83"/>
      <c r="C95" s="85"/>
      <c r="D95" s="40" t="s">
        <v>101</v>
      </c>
      <c r="E95" s="33">
        <v>3500</v>
      </c>
      <c r="F95" s="42">
        <v>4210</v>
      </c>
      <c r="G95" s="31" t="s">
        <v>51</v>
      </c>
      <c r="H95" s="3">
        <v>3499.97</v>
      </c>
      <c r="I95" s="66">
        <f t="shared" si="4"/>
        <v>0.99999142857142853</v>
      </c>
    </row>
    <row r="96" spans="1:9" x14ac:dyDescent="0.2">
      <c r="A96" s="81"/>
      <c r="B96" s="83"/>
      <c r="C96" s="85"/>
      <c r="D96" s="40" t="s">
        <v>62</v>
      </c>
      <c r="E96" s="33">
        <v>150</v>
      </c>
      <c r="F96" s="42">
        <v>4210</v>
      </c>
      <c r="G96" s="31" t="s">
        <v>50</v>
      </c>
      <c r="H96" s="3">
        <v>149.69</v>
      </c>
      <c r="I96" s="66">
        <f t="shared" si="4"/>
        <v>0.99793333333333334</v>
      </c>
    </row>
    <row r="97" spans="1:9" x14ac:dyDescent="0.2">
      <c r="A97" s="81"/>
      <c r="B97" s="83"/>
      <c r="C97" s="85"/>
      <c r="D97" s="40" t="s">
        <v>63</v>
      </c>
      <c r="E97" s="33">
        <v>1743</v>
      </c>
      <c r="F97" s="42">
        <v>4220</v>
      </c>
      <c r="G97" s="31" t="s">
        <v>50</v>
      </c>
      <c r="H97" s="3">
        <v>1741.78</v>
      </c>
      <c r="I97" s="66">
        <f t="shared" si="4"/>
        <v>0.99930005737234651</v>
      </c>
    </row>
    <row r="98" spans="1:9" x14ac:dyDescent="0.2">
      <c r="A98" s="81"/>
      <c r="B98" s="83"/>
      <c r="C98" s="85"/>
      <c r="D98" s="40" t="s">
        <v>64</v>
      </c>
      <c r="E98" s="33">
        <v>700</v>
      </c>
      <c r="F98" s="42">
        <v>4300</v>
      </c>
      <c r="G98" s="31" t="s">
        <v>50</v>
      </c>
      <c r="H98" s="3">
        <v>699.01</v>
      </c>
      <c r="I98" s="66">
        <f t="shared" si="4"/>
        <v>0.9985857142857143</v>
      </c>
    </row>
    <row r="99" spans="1:9" x14ac:dyDescent="0.2">
      <c r="A99" s="91" t="s">
        <v>7</v>
      </c>
      <c r="B99" s="92"/>
      <c r="C99" s="92"/>
      <c r="D99" s="93"/>
      <c r="E99" s="47">
        <f>SUM(E90:E98)</f>
        <v>19193</v>
      </c>
      <c r="F99" s="47"/>
      <c r="G99" s="47"/>
      <c r="H99" s="47">
        <f t="shared" ref="H99:I99" si="7">SUM(H90:H98)</f>
        <v>19143.579999999994</v>
      </c>
      <c r="I99" s="47">
        <f t="shared" si="7"/>
        <v>8.8770605335628225</v>
      </c>
    </row>
    <row r="100" spans="1:9" s="21" customFormat="1" x14ac:dyDescent="0.2">
      <c r="A100" s="80">
        <v>9</v>
      </c>
      <c r="B100" s="82" t="s">
        <v>25</v>
      </c>
      <c r="C100" s="84">
        <v>15684</v>
      </c>
      <c r="D100" s="40" t="s">
        <v>102</v>
      </c>
      <c r="E100" s="4">
        <v>14884</v>
      </c>
      <c r="F100" s="38">
        <v>6050</v>
      </c>
      <c r="G100" s="35" t="s">
        <v>57</v>
      </c>
      <c r="H100" s="71">
        <v>12797.5</v>
      </c>
      <c r="I100" s="66">
        <f t="shared" si="4"/>
        <v>0.85981590970169308</v>
      </c>
    </row>
    <row r="101" spans="1:9" s="21" customFormat="1" x14ac:dyDescent="0.2">
      <c r="A101" s="81"/>
      <c r="B101" s="83"/>
      <c r="C101" s="85"/>
      <c r="D101" s="40" t="s">
        <v>23</v>
      </c>
      <c r="E101" s="44">
        <v>800</v>
      </c>
      <c r="F101" s="38">
        <v>4220</v>
      </c>
      <c r="G101" s="35" t="s">
        <v>50</v>
      </c>
      <c r="H101" s="71">
        <v>0</v>
      </c>
      <c r="I101" s="66">
        <f t="shared" si="4"/>
        <v>0</v>
      </c>
    </row>
    <row r="102" spans="1:9" x14ac:dyDescent="0.2">
      <c r="A102" s="88" t="s">
        <v>7</v>
      </c>
      <c r="B102" s="89"/>
      <c r="C102" s="89"/>
      <c r="D102" s="90"/>
      <c r="E102" s="43">
        <f>SUM(E100:E101)</f>
        <v>15684</v>
      </c>
      <c r="F102" s="43"/>
      <c r="G102" s="43"/>
      <c r="H102" s="43">
        <f t="shared" ref="H102:I102" si="8">SUM(H100:H101)</f>
        <v>12797.5</v>
      </c>
      <c r="I102" s="43">
        <f t="shared" si="8"/>
        <v>0.85981590970169308</v>
      </c>
    </row>
    <row r="103" spans="1:9" x14ac:dyDescent="0.2">
      <c r="A103" s="81">
        <v>10</v>
      </c>
      <c r="B103" s="83" t="s">
        <v>13</v>
      </c>
      <c r="C103" s="85">
        <v>24842</v>
      </c>
      <c r="D103" s="37" t="s">
        <v>39</v>
      </c>
      <c r="E103" s="6">
        <f>9000+442</f>
        <v>9442</v>
      </c>
      <c r="F103" s="2">
        <v>6050</v>
      </c>
      <c r="G103" s="31" t="s">
        <v>57</v>
      </c>
      <c r="H103" s="72">
        <v>9442</v>
      </c>
      <c r="I103" s="66">
        <f t="shared" si="4"/>
        <v>1</v>
      </c>
    </row>
    <row r="104" spans="1:9" x14ac:dyDescent="0.2">
      <c r="A104" s="81"/>
      <c r="B104" s="83"/>
      <c r="C104" s="85"/>
      <c r="D104" s="37" t="s">
        <v>103</v>
      </c>
      <c r="E104" s="6">
        <v>5600</v>
      </c>
      <c r="F104" s="2">
        <v>4300</v>
      </c>
      <c r="G104" s="31" t="s">
        <v>50</v>
      </c>
      <c r="H104" s="72">
        <v>5600</v>
      </c>
      <c r="I104" s="66">
        <f t="shared" si="4"/>
        <v>1</v>
      </c>
    </row>
    <row r="105" spans="1:9" x14ac:dyDescent="0.2">
      <c r="A105" s="81"/>
      <c r="B105" s="83"/>
      <c r="C105" s="85"/>
      <c r="D105" s="37" t="s">
        <v>104</v>
      </c>
      <c r="E105" s="6">
        <f>3000</f>
        <v>3000</v>
      </c>
      <c r="F105" s="2">
        <v>4210</v>
      </c>
      <c r="G105" s="31" t="s">
        <v>50</v>
      </c>
      <c r="H105" s="72">
        <v>2990</v>
      </c>
      <c r="I105" s="66">
        <f t="shared" si="4"/>
        <v>0.9966666666666667</v>
      </c>
    </row>
    <row r="106" spans="1:9" x14ac:dyDescent="0.2">
      <c r="A106" s="81"/>
      <c r="B106" s="83"/>
      <c r="C106" s="85"/>
      <c r="D106" s="46" t="s">
        <v>105</v>
      </c>
      <c r="E106" s="33">
        <f>500-74</f>
        <v>426</v>
      </c>
      <c r="F106" s="34">
        <v>4170</v>
      </c>
      <c r="G106" s="35" t="s">
        <v>49</v>
      </c>
      <c r="H106" s="72">
        <v>426</v>
      </c>
      <c r="I106" s="66">
        <f t="shared" si="4"/>
        <v>1</v>
      </c>
    </row>
    <row r="107" spans="1:9" x14ac:dyDescent="0.2">
      <c r="A107" s="81"/>
      <c r="B107" s="83"/>
      <c r="C107" s="85"/>
      <c r="D107" s="46" t="s">
        <v>105</v>
      </c>
      <c r="E107" s="33">
        <v>74</v>
      </c>
      <c r="F107" s="34">
        <v>4110</v>
      </c>
      <c r="G107" s="35" t="s">
        <v>49</v>
      </c>
      <c r="H107" s="72">
        <v>0</v>
      </c>
      <c r="I107" s="66">
        <f t="shared" si="4"/>
        <v>0</v>
      </c>
    </row>
    <row r="108" spans="1:9" x14ac:dyDescent="0.2">
      <c r="A108" s="81"/>
      <c r="B108" s="83"/>
      <c r="C108" s="85"/>
      <c r="D108" s="37" t="s">
        <v>106</v>
      </c>
      <c r="E108" s="6">
        <f>2800+1000+2500-1600-70</f>
        <v>4630</v>
      </c>
      <c r="F108" s="2">
        <v>4220</v>
      </c>
      <c r="G108" s="31" t="s">
        <v>50</v>
      </c>
      <c r="H108" s="72">
        <f>4621.36+7.99</f>
        <v>4629.3499999999995</v>
      </c>
      <c r="I108" s="66">
        <f t="shared" si="4"/>
        <v>0.99985961123110134</v>
      </c>
    </row>
    <row r="109" spans="1:9" x14ac:dyDescent="0.2">
      <c r="A109" s="81"/>
      <c r="B109" s="83"/>
      <c r="C109" s="85"/>
      <c r="D109" s="37" t="s">
        <v>133</v>
      </c>
      <c r="E109" s="6">
        <v>70</v>
      </c>
      <c r="F109" s="2">
        <v>4210</v>
      </c>
      <c r="G109" s="31" t="s">
        <v>50</v>
      </c>
      <c r="H109" s="72">
        <v>69.41</v>
      </c>
      <c r="I109" s="66">
        <f t="shared" si="4"/>
        <v>0.99157142857142855</v>
      </c>
    </row>
    <row r="110" spans="1:9" x14ac:dyDescent="0.2">
      <c r="A110" s="81"/>
      <c r="B110" s="83"/>
      <c r="C110" s="85"/>
      <c r="D110" s="37" t="s">
        <v>107</v>
      </c>
      <c r="E110" s="6">
        <v>1600</v>
      </c>
      <c r="F110" s="34">
        <v>4300</v>
      </c>
      <c r="G110" s="35" t="s">
        <v>50</v>
      </c>
      <c r="H110" s="72">
        <v>1600</v>
      </c>
      <c r="I110" s="66">
        <f t="shared" si="4"/>
        <v>1</v>
      </c>
    </row>
    <row r="111" spans="1:9" x14ac:dyDescent="0.2">
      <c r="A111" s="88" t="s">
        <v>14</v>
      </c>
      <c r="B111" s="89"/>
      <c r="C111" s="89"/>
      <c r="D111" s="90"/>
      <c r="E111" s="47">
        <f>SUM(E103:E110)</f>
        <v>24842</v>
      </c>
      <c r="F111" s="47"/>
      <c r="G111" s="47"/>
      <c r="H111" s="47">
        <f t="shared" ref="H111:I111" si="9">SUM(H103:H110)</f>
        <v>24756.76</v>
      </c>
      <c r="I111" s="47">
        <f t="shared" si="9"/>
        <v>6.9880977064691967</v>
      </c>
    </row>
    <row r="112" spans="1:9" s="21" customFormat="1" x14ac:dyDescent="0.2">
      <c r="A112" s="80">
        <v>11</v>
      </c>
      <c r="B112" s="82" t="s">
        <v>15</v>
      </c>
      <c r="C112" s="84">
        <v>24732</v>
      </c>
      <c r="D112" s="40" t="s">
        <v>108</v>
      </c>
      <c r="E112" s="6">
        <f>3000-615</f>
        <v>2385</v>
      </c>
      <c r="F112" s="42">
        <v>4210</v>
      </c>
      <c r="G112" s="31" t="s">
        <v>50</v>
      </c>
      <c r="H112" s="71">
        <v>2373.62</v>
      </c>
      <c r="I112" s="66">
        <f t="shared" si="4"/>
        <v>0.99522851153039826</v>
      </c>
    </row>
    <row r="113" spans="1:9" x14ac:dyDescent="0.2">
      <c r="A113" s="81"/>
      <c r="B113" s="83"/>
      <c r="C113" s="85"/>
      <c r="D113" s="40" t="s">
        <v>41</v>
      </c>
      <c r="E113" s="6">
        <v>600</v>
      </c>
      <c r="F113" s="42">
        <v>4260</v>
      </c>
      <c r="G113" s="31" t="s">
        <v>50</v>
      </c>
      <c r="H113" s="72">
        <v>600</v>
      </c>
      <c r="I113" s="66">
        <f t="shared" si="4"/>
        <v>1</v>
      </c>
    </row>
    <row r="114" spans="1:9" x14ac:dyDescent="0.2">
      <c r="A114" s="81"/>
      <c r="B114" s="83"/>
      <c r="C114" s="85"/>
      <c r="D114" s="40" t="s">
        <v>42</v>
      </c>
      <c r="E114" s="6">
        <v>400</v>
      </c>
      <c r="F114" s="2">
        <v>4300</v>
      </c>
      <c r="G114" s="31" t="s">
        <v>50</v>
      </c>
      <c r="H114" s="72">
        <v>400</v>
      </c>
      <c r="I114" s="66">
        <f t="shared" si="4"/>
        <v>1</v>
      </c>
    </row>
    <row r="115" spans="1:9" x14ac:dyDescent="0.2">
      <c r="A115" s="81"/>
      <c r="B115" s="83"/>
      <c r="C115" s="85"/>
      <c r="D115" s="40" t="s">
        <v>109</v>
      </c>
      <c r="E115" s="6">
        <v>800</v>
      </c>
      <c r="F115" s="42">
        <v>4210</v>
      </c>
      <c r="G115" s="31" t="s">
        <v>49</v>
      </c>
      <c r="H115" s="72">
        <v>799.86</v>
      </c>
      <c r="I115" s="66">
        <f t="shared" si="4"/>
        <v>0.99982499999999996</v>
      </c>
    </row>
    <row r="116" spans="1:9" x14ac:dyDescent="0.2">
      <c r="A116" s="81"/>
      <c r="B116" s="83"/>
      <c r="C116" s="85"/>
      <c r="D116" s="40" t="s">
        <v>40</v>
      </c>
      <c r="E116" s="6">
        <f>9000+1000+200</f>
        <v>10200</v>
      </c>
      <c r="F116" s="38">
        <v>6050</v>
      </c>
      <c r="G116" s="35" t="s">
        <v>57</v>
      </c>
      <c r="H116" s="72">
        <v>9500</v>
      </c>
      <c r="I116" s="66">
        <f t="shared" si="4"/>
        <v>0.93137254901960786</v>
      </c>
    </row>
    <row r="117" spans="1:9" x14ac:dyDescent="0.2">
      <c r="A117" s="81"/>
      <c r="B117" s="83"/>
      <c r="C117" s="85"/>
      <c r="D117" s="40" t="s">
        <v>110</v>
      </c>
      <c r="E117" s="6">
        <v>2500</v>
      </c>
      <c r="F117" s="34">
        <v>4220</v>
      </c>
      <c r="G117" s="35" t="s">
        <v>50</v>
      </c>
      <c r="H117" s="72">
        <v>2459.59</v>
      </c>
      <c r="I117" s="66">
        <f t="shared" si="4"/>
        <v>0.98383600000000004</v>
      </c>
    </row>
    <row r="118" spans="1:9" x14ac:dyDescent="0.2">
      <c r="A118" s="81"/>
      <c r="B118" s="83"/>
      <c r="C118" s="85"/>
      <c r="D118" s="40" t="s">
        <v>132</v>
      </c>
      <c r="E118" s="6">
        <f>4000+615</f>
        <v>4615</v>
      </c>
      <c r="F118" s="34">
        <v>4270</v>
      </c>
      <c r="G118" s="35" t="s">
        <v>48</v>
      </c>
      <c r="H118" s="72">
        <v>4615</v>
      </c>
      <c r="I118" s="66">
        <f t="shared" si="4"/>
        <v>1</v>
      </c>
    </row>
    <row r="119" spans="1:9" x14ac:dyDescent="0.2">
      <c r="A119" s="81"/>
      <c r="B119" s="83"/>
      <c r="C119" s="85"/>
      <c r="D119" s="40" t="s">
        <v>136</v>
      </c>
      <c r="E119" s="6">
        <v>2800</v>
      </c>
      <c r="F119" s="34">
        <v>4210</v>
      </c>
      <c r="G119" s="35" t="s">
        <v>51</v>
      </c>
      <c r="H119" s="72">
        <v>2800</v>
      </c>
      <c r="I119" s="66">
        <f t="shared" si="4"/>
        <v>1</v>
      </c>
    </row>
    <row r="120" spans="1:9" s="21" customFormat="1" x14ac:dyDescent="0.2">
      <c r="A120" s="98"/>
      <c r="B120" s="99"/>
      <c r="C120" s="100"/>
      <c r="D120" s="40" t="s">
        <v>111</v>
      </c>
      <c r="E120" s="33">
        <v>432</v>
      </c>
      <c r="F120" s="34">
        <v>4210</v>
      </c>
      <c r="G120" s="35" t="s">
        <v>49</v>
      </c>
      <c r="H120" s="71">
        <v>432</v>
      </c>
      <c r="I120" s="66">
        <f t="shared" ref="I120:I148" si="10">H120/E120</f>
        <v>1</v>
      </c>
    </row>
    <row r="121" spans="1:9" x14ac:dyDescent="0.2">
      <c r="A121" s="88" t="s">
        <v>7</v>
      </c>
      <c r="B121" s="89"/>
      <c r="C121" s="89"/>
      <c r="D121" s="90"/>
      <c r="E121" s="47">
        <f>SUM(E112:E120)</f>
        <v>24732</v>
      </c>
      <c r="F121" s="47"/>
      <c r="G121" s="47"/>
      <c r="H121" s="47">
        <f t="shared" ref="H121:I121" si="11">SUM(H112:H120)</f>
        <v>23980.07</v>
      </c>
      <c r="I121" s="47">
        <f t="shared" si="11"/>
        <v>8.9102620605500071</v>
      </c>
    </row>
    <row r="122" spans="1:9" s="21" customFormat="1" x14ac:dyDescent="0.2">
      <c r="A122" s="86">
        <v>12</v>
      </c>
      <c r="B122" s="87" t="s">
        <v>16</v>
      </c>
      <c r="C122" s="97">
        <v>28570</v>
      </c>
      <c r="D122" s="27" t="s">
        <v>122</v>
      </c>
      <c r="E122" s="78">
        <v>2890</v>
      </c>
      <c r="F122" s="34">
        <v>4210</v>
      </c>
      <c r="G122" s="35" t="s">
        <v>50</v>
      </c>
      <c r="H122" s="76">
        <v>2890</v>
      </c>
      <c r="I122" s="66">
        <f t="shared" si="10"/>
        <v>1</v>
      </c>
    </row>
    <row r="123" spans="1:9" s="21" customFormat="1" x14ac:dyDescent="0.2">
      <c r="A123" s="86"/>
      <c r="B123" s="87"/>
      <c r="C123" s="97"/>
      <c r="D123" s="27" t="s">
        <v>123</v>
      </c>
      <c r="E123" s="78">
        <v>500</v>
      </c>
      <c r="F123" s="34">
        <v>4260</v>
      </c>
      <c r="G123" s="35" t="s">
        <v>50</v>
      </c>
      <c r="H123" s="77">
        <v>500</v>
      </c>
      <c r="I123" s="66">
        <f t="shared" si="10"/>
        <v>1</v>
      </c>
    </row>
    <row r="124" spans="1:9" s="21" customFormat="1" x14ac:dyDescent="0.2">
      <c r="A124" s="86"/>
      <c r="B124" s="87"/>
      <c r="C124" s="97"/>
      <c r="D124" s="27" t="s">
        <v>124</v>
      </c>
      <c r="E124" s="78">
        <f>500-270</f>
        <v>230</v>
      </c>
      <c r="F124" s="34">
        <v>4300</v>
      </c>
      <c r="G124" s="35" t="s">
        <v>50</v>
      </c>
      <c r="H124" s="77">
        <v>230</v>
      </c>
      <c r="I124" s="66">
        <f t="shared" si="10"/>
        <v>1</v>
      </c>
    </row>
    <row r="125" spans="1:9" s="21" customFormat="1" x14ac:dyDescent="0.2">
      <c r="A125" s="86"/>
      <c r="B125" s="87"/>
      <c r="C125" s="97"/>
      <c r="D125" s="27" t="s">
        <v>112</v>
      </c>
      <c r="E125" s="78">
        <f>12000+3000</f>
        <v>15000</v>
      </c>
      <c r="F125" s="34">
        <v>6050</v>
      </c>
      <c r="G125" s="35" t="s">
        <v>57</v>
      </c>
      <c r="H125" s="77">
        <v>15000</v>
      </c>
      <c r="I125" s="66">
        <f t="shared" si="10"/>
        <v>1</v>
      </c>
    </row>
    <row r="126" spans="1:9" x14ac:dyDescent="0.2">
      <c r="A126" s="86"/>
      <c r="B126" s="87"/>
      <c r="C126" s="97"/>
      <c r="D126" s="27" t="s">
        <v>119</v>
      </c>
      <c r="E126" s="78">
        <v>3961</v>
      </c>
      <c r="F126" s="2">
        <v>4220</v>
      </c>
      <c r="G126" s="31" t="s">
        <v>50</v>
      </c>
      <c r="H126" s="76">
        <v>3960.66</v>
      </c>
      <c r="I126" s="66">
        <f t="shared" si="10"/>
        <v>0.9999141630901287</v>
      </c>
    </row>
    <row r="127" spans="1:9" x14ac:dyDescent="0.2">
      <c r="A127" s="86"/>
      <c r="B127" s="87"/>
      <c r="C127" s="97"/>
      <c r="D127" s="27" t="s">
        <v>128</v>
      </c>
      <c r="E127" s="78">
        <v>458</v>
      </c>
      <c r="F127" s="2">
        <v>4210</v>
      </c>
      <c r="G127" s="31" t="s">
        <v>50</v>
      </c>
      <c r="H127" s="77">
        <v>332.27</v>
      </c>
      <c r="I127" s="66">
        <f t="shared" si="10"/>
        <v>0.72548034934497818</v>
      </c>
    </row>
    <row r="128" spans="1:9" x14ac:dyDescent="0.2">
      <c r="A128" s="86"/>
      <c r="B128" s="87"/>
      <c r="C128" s="97"/>
      <c r="D128" s="27" t="s">
        <v>129</v>
      </c>
      <c r="E128" s="78">
        <f>1400+900</f>
        <v>2300</v>
      </c>
      <c r="F128" s="2">
        <v>4300</v>
      </c>
      <c r="G128" s="31" t="s">
        <v>50</v>
      </c>
      <c r="H128" s="77">
        <v>2300</v>
      </c>
      <c r="I128" s="66">
        <f t="shared" si="10"/>
        <v>1</v>
      </c>
    </row>
    <row r="129" spans="1:9" x14ac:dyDescent="0.2">
      <c r="A129" s="86"/>
      <c r="B129" s="87"/>
      <c r="C129" s="97"/>
      <c r="D129" s="27" t="s">
        <v>43</v>
      </c>
      <c r="E129" s="78">
        <f>3000-339</f>
        <v>2661</v>
      </c>
      <c r="F129" s="2">
        <v>4270</v>
      </c>
      <c r="G129" s="31" t="s">
        <v>50</v>
      </c>
      <c r="H129" s="77">
        <v>2661</v>
      </c>
      <c r="I129" s="66">
        <f t="shared" si="10"/>
        <v>1</v>
      </c>
    </row>
    <row r="130" spans="1:9" x14ac:dyDescent="0.2">
      <c r="A130" s="86"/>
      <c r="B130" s="87"/>
      <c r="C130" s="97"/>
      <c r="D130" s="27" t="s">
        <v>113</v>
      </c>
      <c r="E130" s="78">
        <f>570-84</f>
        <v>486</v>
      </c>
      <c r="F130" s="34">
        <v>4170</v>
      </c>
      <c r="G130" s="35" t="s">
        <v>49</v>
      </c>
      <c r="H130" s="77">
        <v>479.69</v>
      </c>
      <c r="I130" s="66">
        <f t="shared" si="10"/>
        <v>0.98701646090534978</v>
      </c>
    </row>
    <row r="131" spans="1:9" x14ac:dyDescent="0.2">
      <c r="A131" s="86"/>
      <c r="B131" s="87"/>
      <c r="C131" s="97"/>
      <c r="D131" s="27" t="s">
        <v>113</v>
      </c>
      <c r="E131" s="78">
        <v>84</v>
      </c>
      <c r="F131" s="34">
        <v>4110</v>
      </c>
      <c r="G131" s="35" t="s">
        <v>49</v>
      </c>
      <c r="H131" s="77">
        <v>69.28</v>
      </c>
      <c r="I131" s="66">
        <f t="shared" si="10"/>
        <v>0.82476190476190481</v>
      </c>
    </row>
    <row r="132" spans="1:9" x14ac:dyDescent="0.2">
      <c r="A132" s="88" t="s">
        <v>7</v>
      </c>
      <c r="B132" s="89"/>
      <c r="C132" s="89"/>
      <c r="D132" s="90"/>
      <c r="E132" s="47">
        <f>SUM(E122:E131)</f>
        <v>28570</v>
      </c>
      <c r="F132" s="47"/>
      <c r="G132" s="47"/>
      <c r="H132" s="47">
        <f t="shared" ref="H132:I132" si="12">SUM(H122:H131)</f>
        <v>28422.899999999998</v>
      </c>
      <c r="I132" s="47">
        <f t="shared" si="12"/>
        <v>9.5371728781023606</v>
      </c>
    </row>
    <row r="133" spans="1:9" x14ac:dyDescent="0.2">
      <c r="A133" s="81"/>
      <c r="B133" s="83"/>
      <c r="C133" s="85"/>
      <c r="D133" s="32" t="s">
        <v>114</v>
      </c>
      <c r="E133" s="6">
        <v>2900</v>
      </c>
      <c r="F133" s="2">
        <v>4210</v>
      </c>
      <c r="G133" s="31" t="s">
        <v>50</v>
      </c>
      <c r="H133" s="75">
        <v>2899.5</v>
      </c>
      <c r="I133" s="66">
        <f t="shared" si="10"/>
        <v>0.9998275862068966</v>
      </c>
    </row>
    <row r="134" spans="1:9" x14ac:dyDescent="0.2">
      <c r="A134" s="81"/>
      <c r="B134" s="83"/>
      <c r="C134" s="85"/>
      <c r="D134" s="32" t="s">
        <v>115</v>
      </c>
      <c r="E134" s="33">
        <v>3300</v>
      </c>
      <c r="F134" s="34">
        <v>4300</v>
      </c>
      <c r="G134" s="35" t="s">
        <v>51</v>
      </c>
      <c r="H134" s="75">
        <v>3300</v>
      </c>
      <c r="I134" s="66">
        <f t="shared" si="10"/>
        <v>1</v>
      </c>
    </row>
    <row r="135" spans="1:9" x14ac:dyDescent="0.2">
      <c r="A135" s="81"/>
      <c r="B135" s="83"/>
      <c r="C135" s="85"/>
      <c r="D135" s="32" t="s">
        <v>116</v>
      </c>
      <c r="E135" s="6">
        <f>1200+1000+300</f>
        <v>2500</v>
      </c>
      <c r="F135" s="2">
        <v>4300</v>
      </c>
      <c r="G135" s="31" t="s">
        <v>51</v>
      </c>
      <c r="H135" s="75">
        <v>2500</v>
      </c>
      <c r="I135" s="66">
        <f t="shared" si="10"/>
        <v>1</v>
      </c>
    </row>
    <row r="136" spans="1:9" s="21" customFormat="1" x14ac:dyDescent="0.2">
      <c r="A136" s="81"/>
      <c r="B136" s="83"/>
      <c r="C136" s="85"/>
      <c r="D136" s="32" t="s">
        <v>117</v>
      </c>
      <c r="E136" s="33">
        <v>220</v>
      </c>
      <c r="F136" s="34">
        <v>4210</v>
      </c>
      <c r="G136" s="35" t="s">
        <v>50</v>
      </c>
      <c r="H136" s="75">
        <v>220</v>
      </c>
      <c r="I136" s="66">
        <f t="shared" si="10"/>
        <v>1</v>
      </c>
    </row>
    <row r="137" spans="1:9" x14ac:dyDescent="0.3">
      <c r="A137" s="81"/>
      <c r="B137" s="83"/>
      <c r="C137" s="85"/>
      <c r="D137" s="32" t="s">
        <v>27</v>
      </c>
      <c r="E137" s="6">
        <v>601</v>
      </c>
      <c r="F137" s="48">
        <v>4210</v>
      </c>
      <c r="G137" s="35" t="s">
        <v>49</v>
      </c>
      <c r="H137" s="76">
        <v>600.37</v>
      </c>
      <c r="I137" s="66">
        <f t="shared" si="10"/>
        <v>0.99895174708818635</v>
      </c>
    </row>
    <row r="138" spans="1:9" x14ac:dyDescent="0.3">
      <c r="A138" s="81"/>
      <c r="B138" s="83"/>
      <c r="C138" s="85"/>
      <c r="D138" s="32" t="s">
        <v>118</v>
      </c>
      <c r="E138" s="33">
        <v>510</v>
      </c>
      <c r="F138" s="49">
        <v>4170</v>
      </c>
      <c r="G138" s="35" t="s">
        <v>49</v>
      </c>
      <c r="H138" s="76">
        <v>510</v>
      </c>
      <c r="I138" s="66">
        <f t="shared" si="10"/>
        <v>1</v>
      </c>
    </row>
    <row r="139" spans="1:9" x14ac:dyDescent="0.3">
      <c r="A139" s="81"/>
      <c r="B139" s="83"/>
      <c r="C139" s="85"/>
      <c r="D139" s="32" t="s">
        <v>118</v>
      </c>
      <c r="E139" s="33">
        <v>90</v>
      </c>
      <c r="F139" s="49">
        <v>4110</v>
      </c>
      <c r="G139" s="35" t="s">
        <v>49</v>
      </c>
      <c r="H139" s="76">
        <v>0</v>
      </c>
      <c r="I139" s="66">
        <f t="shared" si="10"/>
        <v>0</v>
      </c>
    </row>
    <row r="140" spans="1:9" ht="24" x14ac:dyDescent="0.2">
      <c r="A140" s="81"/>
      <c r="B140" s="83"/>
      <c r="C140" s="85"/>
      <c r="D140" s="32" t="s">
        <v>131</v>
      </c>
      <c r="E140" s="6">
        <f>950-300-300</f>
        <v>350</v>
      </c>
      <c r="F140" s="2">
        <v>4210</v>
      </c>
      <c r="G140" s="31" t="s">
        <v>50</v>
      </c>
      <c r="H140" s="72">
        <v>349.9</v>
      </c>
      <c r="I140" s="66">
        <f t="shared" si="10"/>
        <v>0.99971428571428567</v>
      </c>
    </row>
    <row r="141" spans="1:9" x14ac:dyDescent="0.2">
      <c r="A141" s="81"/>
      <c r="B141" s="83"/>
      <c r="C141" s="85"/>
      <c r="D141" s="32" t="s">
        <v>137</v>
      </c>
      <c r="E141" s="6">
        <v>4000</v>
      </c>
      <c r="F141" s="2">
        <v>4210</v>
      </c>
      <c r="G141" s="31" t="s">
        <v>50</v>
      </c>
      <c r="H141" s="72">
        <v>4000</v>
      </c>
      <c r="I141" s="66">
        <f t="shared" si="10"/>
        <v>1</v>
      </c>
    </row>
    <row r="142" spans="1:9" ht="24" x14ac:dyDescent="0.2">
      <c r="A142" s="81"/>
      <c r="B142" s="83"/>
      <c r="C142" s="85"/>
      <c r="D142" s="32" t="s">
        <v>131</v>
      </c>
      <c r="E142" s="6">
        <f>550+300</f>
        <v>850</v>
      </c>
      <c r="F142" s="2">
        <v>4220</v>
      </c>
      <c r="G142" s="31" t="s">
        <v>50</v>
      </c>
      <c r="H142" s="75">
        <v>848.4</v>
      </c>
      <c r="I142" s="66">
        <f t="shared" si="10"/>
        <v>0.99811764705882355</v>
      </c>
    </row>
    <row r="143" spans="1:9" ht="24" x14ac:dyDescent="0.2">
      <c r="A143" s="81"/>
      <c r="B143" s="83"/>
      <c r="C143" s="85"/>
      <c r="D143" s="32" t="s">
        <v>131</v>
      </c>
      <c r="E143" s="6">
        <v>400</v>
      </c>
      <c r="F143" s="2">
        <v>4300</v>
      </c>
      <c r="G143" s="31" t="s">
        <v>50</v>
      </c>
      <c r="H143" s="75">
        <v>400</v>
      </c>
      <c r="I143" s="66">
        <f t="shared" si="10"/>
        <v>1</v>
      </c>
    </row>
    <row r="144" spans="1:9" x14ac:dyDescent="0.2">
      <c r="A144" s="81"/>
      <c r="B144" s="83"/>
      <c r="C144" s="85"/>
      <c r="D144" s="32" t="s">
        <v>44</v>
      </c>
      <c r="E144" s="6">
        <v>200</v>
      </c>
      <c r="F144" s="2">
        <v>4210</v>
      </c>
      <c r="G144" s="31" t="s">
        <v>49</v>
      </c>
      <c r="H144" s="75">
        <v>200</v>
      </c>
      <c r="I144" s="66">
        <f t="shared" si="10"/>
        <v>1</v>
      </c>
    </row>
    <row r="145" spans="1:9" x14ac:dyDescent="0.2">
      <c r="A145" s="81"/>
      <c r="B145" s="83"/>
      <c r="C145" s="85"/>
      <c r="D145" s="32" t="s">
        <v>45</v>
      </c>
      <c r="E145" s="6">
        <v>250</v>
      </c>
      <c r="F145" s="34">
        <v>4270</v>
      </c>
      <c r="G145" s="35" t="s">
        <v>49</v>
      </c>
      <c r="H145" s="75">
        <v>250</v>
      </c>
      <c r="I145" s="66">
        <f t="shared" si="10"/>
        <v>1</v>
      </c>
    </row>
    <row r="146" spans="1:9" x14ac:dyDescent="0.2">
      <c r="A146" s="81"/>
      <c r="B146" s="83"/>
      <c r="C146" s="85"/>
      <c r="D146" s="32" t="s">
        <v>73</v>
      </c>
      <c r="E146" s="6">
        <v>500</v>
      </c>
      <c r="F146" s="34">
        <v>4300</v>
      </c>
      <c r="G146" s="35" t="s">
        <v>121</v>
      </c>
      <c r="H146" s="75">
        <v>500</v>
      </c>
      <c r="I146" s="66">
        <f t="shared" si="10"/>
        <v>1</v>
      </c>
    </row>
    <row r="147" spans="1:9" x14ac:dyDescent="0.2">
      <c r="A147" s="88" t="s">
        <v>7</v>
      </c>
      <c r="B147" s="89"/>
      <c r="C147" s="89"/>
      <c r="D147" s="90"/>
      <c r="E147" s="47">
        <f>SUM(E133:E146)</f>
        <v>16671</v>
      </c>
      <c r="F147" s="47"/>
      <c r="G147" s="47"/>
      <c r="H147" s="47">
        <f t="shared" ref="H147:I147" si="13">SUM(H133:H146)</f>
        <v>16578.169999999998</v>
      </c>
      <c r="I147" s="47">
        <f t="shared" si="13"/>
        <v>12.996611266068193</v>
      </c>
    </row>
    <row r="148" spans="1:9" x14ac:dyDescent="0.2">
      <c r="A148" s="94" t="s">
        <v>21</v>
      </c>
      <c r="B148" s="95"/>
      <c r="C148" s="95"/>
      <c r="D148" s="96"/>
      <c r="E148" s="50">
        <f t="shared" ref="E148:H148" si="14">E18+E36+E48+E56+E64+E77+E89+E99+E102+E111+E121+E132+E147</f>
        <v>295960</v>
      </c>
      <c r="F148" s="50">
        <f t="shared" si="14"/>
        <v>0</v>
      </c>
      <c r="G148" s="50">
        <f t="shared" si="14"/>
        <v>0</v>
      </c>
      <c r="H148" s="50">
        <f t="shared" si="14"/>
        <v>289580.62</v>
      </c>
      <c r="I148" s="66">
        <f t="shared" si="10"/>
        <v>0.97844512771996217</v>
      </c>
    </row>
    <row r="149" spans="1:9" x14ac:dyDescent="0.2">
      <c r="A149" s="1"/>
    </row>
    <row r="150" spans="1:9" x14ac:dyDescent="0.2">
      <c r="A150" s="1"/>
    </row>
    <row r="151" spans="1:9" x14ac:dyDescent="0.2">
      <c r="A151" s="1"/>
    </row>
    <row r="155" spans="1:9" x14ac:dyDescent="0.2">
      <c r="A155" s="54"/>
      <c r="B155" s="55"/>
      <c r="C155" s="56"/>
      <c r="D155" s="57"/>
      <c r="E155" s="58"/>
    </row>
    <row r="156" spans="1:9" x14ac:dyDescent="0.2">
      <c r="A156" s="54"/>
      <c r="B156" s="55"/>
      <c r="C156" s="56"/>
      <c r="D156" s="57"/>
      <c r="E156" s="58"/>
      <c r="F156" s="54"/>
    </row>
    <row r="157" spans="1:9" x14ac:dyDescent="0.2">
      <c r="A157" s="54"/>
      <c r="B157" s="55"/>
      <c r="C157" s="56"/>
      <c r="D157" s="57"/>
      <c r="E157" s="58"/>
      <c r="F157" s="54"/>
    </row>
    <row r="158" spans="1:9" x14ac:dyDescent="0.2">
      <c r="A158" s="54"/>
      <c r="B158" s="59"/>
      <c r="C158" s="60"/>
      <c r="D158" s="54"/>
      <c r="E158" s="58"/>
      <c r="F158" s="54"/>
    </row>
    <row r="159" spans="1:9" x14ac:dyDescent="0.2">
      <c r="A159" s="54"/>
      <c r="B159" s="55"/>
      <c r="C159" s="56"/>
      <c r="D159" s="57"/>
      <c r="E159" s="58"/>
      <c r="F159" s="54"/>
    </row>
    <row r="160" spans="1:9" x14ac:dyDescent="0.2">
      <c r="A160" s="54"/>
      <c r="B160" s="59"/>
      <c r="C160" s="60"/>
      <c r="D160" s="61"/>
      <c r="E160" s="58"/>
      <c r="F160" s="54"/>
    </row>
    <row r="161" spans="1:6" x14ac:dyDescent="0.2">
      <c r="A161" s="54"/>
      <c r="B161" s="59"/>
      <c r="C161" s="60"/>
      <c r="D161" s="61"/>
      <c r="E161" s="58"/>
      <c r="F161" s="61"/>
    </row>
    <row r="162" spans="1:6" x14ac:dyDescent="0.2">
      <c r="A162" s="54"/>
      <c r="B162" s="59"/>
      <c r="C162" s="60"/>
      <c r="D162" s="61"/>
      <c r="E162" s="58"/>
      <c r="F162" s="61"/>
    </row>
    <row r="163" spans="1:6" x14ac:dyDescent="0.2">
      <c r="A163" s="54"/>
      <c r="B163" s="59"/>
      <c r="C163" s="60"/>
      <c r="D163" s="61"/>
      <c r="E163" s="58"/>
      <c r="F163" s="61"/>
    </row>
    <row r="164" spans="1:6" x14ac:dyDescent="0.2">
      <c r="A164" s="54"/>
      <c r="B164" s="59"/>
      <c r="C164" s="60"/>
      <c r="D164" s="61"/>
      <c r="E164" s="58"/>
      <c r="F164" s="61"/>
    </row>
    <row r="165" spans="1:6" x14ac:dyDescent="0.2">
      <c r="A165" s="54"/>
      <c r="B165" s="59"/>
      <c r="C165" s="60"/>
      <c r="D165" s="61"/>
      <c r="E165" s="58"/>
      <c r="F165" s="61"/>
    </row>
    <row r="166" spans="1:6" x14ac:dyDescent="0.2">
      <c r="A166" s="54"/>
      <c r="B166" s="55"/>
      <c r="C166" s="56"/>
      <c r="D166" s="54"/>
      <c r="E166" s="58"/>
      <c r="F166" s="61"/>
    </row>
    <row r="167" spans="1:6" x14ac:dyDescent="0.2">
      <c r="A167" s="54"/>
      <c r="B167" s="55"/>
      <c r="C167" s="56"/>
      <c r="D167" s="54"/>
      <c r="E167" s="58"/>
      <c r="F167" s="54"/>
    </row>
    <row r="168" spans="1:6" x14ac:dyDescent="0.2">
      <c r="A168" s="54"/>
      <c r="B168" s="62"/>
      <c r="C168" s="56"/>
      <c r="D168" s="63"/>
      <c r="E168" s="64"/>
      <c r="F168" s="54"/>
    </row>
    <row r="169" spans="1:6" x14ac:dyDescent="0.2">
      <c r="A169" s="54"/>
      <c r="B169" s="55"/>
      <c r="C169" s="56"/>
      <c r="D169" s="57"/>
      <c r="E169" s="58"/>
      <c r="F169" s="63"/>
    </row>
    <row r="170" spans="1:6" x14ac:dyDescent="0.2">
      <c r="F170" s="54"/>
    </row>
  </sheetData>
  <mergeCells count="61">
    <mergeCell ref="A64:D64"/>
    <mergeCell ref="F1:I1"/>
    <mergeCell ref="A3:I3"/>
    <mergeCell ref="I5:I7"/>
    <mergeCell ref="F5:G7"/>
    <mergeCell ref="H5:H7"/>
    <mergeCell ref="C8:C17"/>
    <mergeCell ref="B8:B17"/>
    <mergeCell ref="A49:A55"/>
    <mergeCell ref="B49:B55"/>
    <mergeCell ref="C49:C55"/>
    <mergeCell ref="A57:A63"/>
    <mergeCell ref="B57:B63"/>
    <mergeCell ref="C57:C63"/>
    <mergeCell ref="A56:D56"/>
    <mergeCell ref="B19:B35"/>
    <mergeCell ref="A132:D132"/>
    <mergeCell ref="A111:D111"/>
    <mergeCell ref="A121:D121"/>
    <mergeCell ref="A48:D48"/>
    <mergeCell ref="E5:E7"/>
    <mergeCell ref="A5:A7"/>
    <mergeCell ref="B5:B7"/>
    <mergeCell ref="A89:D89"/>
    <mergeCell ref="A8:A17"/>
    <mergeCell ref="A18:D18"/>
    <mergeCell ref="A37:A47"/>
    <mergeCell ref="B37:B47"/>
    <mergeCell ref="C37:C47"/>
    <mergeCell ref="C19:C35"/>
    <mergeCell ref="A19:A35"/>
    <mergeCell ref="A36:D36"/>
    <mergeCell ref="A148:D148"/>
    <mergeCell ref="A100:A101"/>
    <mergeCell ref="B100:B101"/>
    <mergeCell ref="C100:C101"/>
    <mergeCell ref="A103:A110"/>
    <mergeCell ref="B103:B110"/>
    <mergeCell ref="C103:C110"/>
    <mergeCell ref="A102:D102"/>
    <mergeCell ref="C122:C131"/>
    <mergeCell ref="A112:A120"/>
    <mergeCell ref="B112:B120"/>
    <mergeCell ref="C112:C120"/>
    <mergeCell ref="A147:D147"/>
    <mergeCell ref="A133:A146"/>
    <mergeCell ref="B133:B146"/>
    <mergeCell ref="C133:C146"/>
    <mergeCell ref="A90:A98"/>
    <mergeCell ref="B90:B98"/>
    <mergeCell ref="C90:C98"/>
    <mergeCell ref="A65:A76"/>
    <mergeCell ref="A122:A131"/>
    <mergeCell ref="B122:B131"/>
    <mergeCell ref="A77:D77"/>
    <mergeCell ref="A78:A88"/>
    <mergeCell ref="B78:B88"/>
    <mergeCell ref="C78:C88"/>
    <mergeCell ref="B65:B76"/>
    <mergeCell ref="C65:C76"/>
    <mergeCell ref="A99:D99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FS 2023</vt:lpstr>
    </vt:vector>
  </TitlesOfParts>
  <Company>UMiG Międzybórz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UMIG-RADA</cp:lastModifiedBy>
  <cp:lastPrinted>2024-03-28T07:16:38Z</cp:lastPrinted>
  <dcterms:created xsi:type="dcterms:W3CDTF">2009-11-16T08:00:10Z</dcterms:created>
  <dcterms:modified xsi:type="dcterms:W3CDTF">2024-03-28T11:55:32Z</dcterms:modified>
</cp:coreProperties>
</file>